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1\Home\lisa\Documents\2022 budget\2022 final budgets\"/>
    </mc:Choice>
  </mc:AlternateContent>
  <xr:revisionPtr revIDLastSave="0" documentId="13_ncr:1_{7BE3B68D-392C-4B59-BDF0-17D960B05381}" xr6:coauthVersionLast="47" xr6:coauthVersionMax="47" xr10:uidLastSave="{00000000-0000-0000-0000-000000000000}"/>
  <bookViews>
    <workbookView xWindow="-108" yWindow="-108" windowWidth="23256" windowHeight="12576" xr2:uid="{8B61D260-7214-47F2-B9A8-E3B5BAE6CEAC}"/>
  </bookViews>
  <sheets>
    <sheet name="budget-final" sheetId="14" r:id="rId1"/>
    <sheet name="worksheet (4)" sheetId="13" r:id="rId2"/>
    <sheet name="budget" sheetId="6" r:id="rId3"/>
  </sheets>
  <definedNames>
    <definedName name="_xlnm.Print_Titles" localSheetId="2">budget!$1:$2</definedName>
    <definedName name="_xlnm.Print_Titles" localSheetId="0">'budget-final'!$1:$2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74" i="14" l="1"/>
  <c r="X68" i="14"/>
  <c r="X24" i="14" l="1"/>
  <c r="X32" i="14"/>
  <c r="X33" i="14"/>
  <c r="X18" i="14"/>
  <c r="X17" i="14"/>
  <c r="X16" i="14"/>
  <c r="X15" i="14"/>
  <c r="X14" i="14"/>
  <c r="X13" i="14"/>
  <c r="X12" i="14"/>
  <c r="X11" i="14"/>
  <c r="X10" i="14"/>
  <c r="X9" i="14"/>
  <c r="X7" i="14"/>
  <c r="X8" i="14"/>
  <c r="X6" i="14"/>
  <c r="X4" i="14"/>
  <c r="X154" i="14"/>
  <c r="X144" i="14"/>
  <c r="X43" i="14" s="1"/>
  <c r="X95" i="14"/>
  <c r="X40" i="14" s="1"/>
  <c r="X53" i="14"/>
  <c r="X39" i="14"/>
  <c r="V33" i="14"/>
  <c r="V36" i="14" s="1"/>
  <c r="V53" i="14"/>
  <c r="S8" i="14"/>
  <c r="O8" i="14"/>
  <c r="T154" i="14"/>
  <c r="T44" i="14" s="1"/>
  <c r="Q154" i="14"/>
  <c r="Q44" i="14" s="1"/>
  <c r="P154" i="14"/>
  <c r="P44" i="14" s="1"/>
  <c r="N154" i="14"/>
  <c r="N44" i="14" s="1"/>
  <c r="M154" i="14"/>
  <c r="M44" i="14" s="1"/>
  <c r="L154" i="14"/>
  <c r="L44" i="14" s="1"/>
  <c r="K154" i="14"/>
  <c r="K44" i="14" s="1"/>
  <c r="J154" i="14"/>
  <c r="J44" i="14" s="1"/>
  <c r="I154" i="14"/>
  <c r="I44" i="14" s="1"/>
  <c r="H154" i="14"/>
  <c r="H44" i="14" s="1"/>
  <c r="G154" i="14"/>
  <c r="G44" i="14" s="1"/>
  <c r="F154" i="14"/>
  <c r="F44" i="14" s="1"/>
  <c r="E154" i="14"/>
  <c r="E44" i="14" s="1"/>
  <c r="D154" i="14"/>
  <c r="D44" i="14" s="1"/>
  <c r="C154" i="14"/>
  <c r="C44" i="14" s="1"/>
  <c r="B154" i="14"/>
  <c r="B44" i="14" s="1"/>
  <c r="S152" i="14"/>
  <c r="S151" i="14"/>
  <c r="S150" i="14"/>
  <c r="O150" i="14"/>
  <c r="R149" i="14"/>
  <c r="S149" i="14" s="1"/>
  <c r="O149" i="14"/>
  <c r="S148" i="14"/>
  <c r="O148" i="14"/>
  <c r="T144" i="14"/>
  <c r="T43" i="14" s="1"/>
  <c r="Q144" i="14"/>
  <c r="Q43" i="14" s="1"/>
  <c r="P144" i="14"/>
  <c r="P43" i="14" s="1"/>
  <c r="N144" i="14"/>
  <c r="N43" i="14" s="1"/>
  <c r="M144" i="14"/>
  <c r="M43" i="14" s="1"/>
  <c r="L144" i="14"/>
  <c r="L43" i="14" s="1"/>
  <c r="K144" i="14"/>
  <c r="K43" i="14" s="1"/>
  <c r="J144" i="14"/>
  <c r="J43" i="14" s="1"/>
  <c r="I144" i="14"/>
  <c r="I43" i="14" s="1"/>
  <c r="H144" i="14"/>
  <c r="H43" i="14" s="1"/>
  <c r="G144" i="14"/>
  <c r="G43" i="14" s="1"/>
  <c r="F144" i="14"/>
  <c r="F43" i="14" s="1"/>
  <c r="E144" i="14"/>
  <c r="E43" i="14" s="1"/>
  <c r="D144" i="14"/>
  <c r="D43" i="14" s="1"/>
  <c r="C144" i="14"/>
  <c r="C43" i="14" s="1"/>
  <c r="B144" i="14"/>
  <c r="B43" i="14" s="1"/>
  <c r="V144" i="14"/>
  <c r="V43" i="14" s="1"/>
  <c r="S142" i="14"/>
  <c r="S144" i="14" s="1"/>
  <c r="O142" i="14"/>
  <c r="O144" i="14" s="1"/>
  <c r="T139" i="14"/>
  <c r="T42" i="14" s="1"/>
  <c r="Q139" i="14"/>
  <c r="Q42" i="14" s="1"/>
  <c r="P139" i="14"/>
  <c r="P42" i="14" s="1"/>
  <c r="N139" i="14"/>
  <c r="N42" i="14" s="1"/>
  <c r="M139" i="14"/>
  <c r="M42" i="14" s="1"/>
  <c r="L139" i="14"/>
  <c r="L42" i="14" s="1"/>
  <c r="K139" i="14"/>
  <c r="K42" i="14" s="1"/>
  <c r="J139" i="14"/>
  <c r="J42" i="14" s="1"/>
  <c r="I139" i="14"/>
  <c r="I42" i="14" s="1"/>
  <c r="H139" i="14"/>
  <c r="H42" i="14" s="1"/>
  <c r="G139" i="14"/>
  <c r="G42" i="14" s="1"/>
  <c r="F139" i="14"/>
  <c r="F42" i="14" s="1"/>
  <c r="E139" i="14"/>
  <c r="E42" i="14" s="1"/>
  <c r="D139" i="14"/>
  <c r="D42" i="14" s="1"/>
  <c r="C139" i="14"/>
  <c r="C42" i="14" s="1"/>
  <c r="B139" i="14"/>
  <c r="B42" i="14" s="1"/>
  <c r="S137" i="14"/>
  <c r="O137" i="14"/>
  <c r="S136" i="14"/>
  <c r="O136" i="14"/>
  <c r="S135" i="14"/>
  <c r="O135" i="14"/>
  <c r="S134" i="14"/>
  <c r="O134" i="14"/>
  <c r="S133" i="14"/>
  <c r="O133" i="14"/>
  <c r="S132" i="14"/>
  <c r="O132" i="14"/>
  <c r="S131" i="14"/>
  <c r="O131" i="14"/>
  <c r="S130" i="14"/>
  <c r="O130" i="14"/>
  <c r="V129" i="14"/>
  <c r="X139" i="14" s="1"/>
  <c r="X42" i="14" s="1"/>
  <c r="S129" i="14"/>
  <c r="O129" i="14"/>
  <c r="S128" i="14"/>
  <c r="O128" i="14"/>
  <c r="V127" i="14"/>
  <c r="S127" i="14"/>
  <c r="O127" i="14"/>
  <c r="S126" i="14"/>
  <c r="O126" i="14"/>
  <c r="S125" i="14"/>
  <c r="O125" i="14"/>
  <c r="S124" i="14"/>
  <c r="O124" i="14"/>
  <c r="S123" i="14"/>
  <c r="O123" i="14"/>
  <c r="R122" i="14"/>
  <c r="O122" i="14"/>
  <c r="T119" i="14"/>
  <c r="T41" i="14" s="1"/>
  <c r="P119" i="14"/>
  <c r="P41" i="14" s="1"/>
  <c r="N119" i="14"/>
  <c r="N41" i="14" s="1"/>
  <c r="M119" i="14"/>
  <c r="M41" i="14" s="1"/>
  <c r="L119" i="14"/>
  <c r="L41" i="14" s="1"/>
  <c r="K119" i="14"/>
  <c r="K41" i="14" s="1"/>
  <c r="J119" i="14"/>
  <c r="J41" i="14" s="1"/>
  <c r="I119" i="14"/>
  <c r="I41" i="14" s="1"/>
  <c r="H119" i="14"/>
  <c r="H41" i="14" s="1"/>
  <c r="G119" i="14"/>
  <c r="G41" i="14" s="1"/>
  <c r="F119" i="14"/>
  <c r="F41" i="14" s="1"/>
  <c r="E119" i="14"/>
  <c r="E41" i="14" s="1"/>
  <c r="D119" i="14"/>
  <c r="D41" i="14" s="1"/>
  <c r="C119" i="14"/>
  <c r="C41" i="14" s="1"/>
  <c r="B119" i="14"/>
  <c r="B41" i="14" s="1"/>
  <c r="S116" i="14"/>
  <c r="O116" i="14"/>
  <c r="S115" i="14"/>
  <c r="O115" i="14"/>
  <c r="S114" i="14"/>
  <c r="O114" i="14"/>
  <c r="S113" i="14"/>
  <c r="O113" i="14"/>
  <c r="S112" i="14"/>
  <c r="O112" i="14"/>
  <c r="S111" i="14"/>
  <c r="O111" i="14"/>
  <c r="V110" i="14"/>
  <c r="X110" i="14" s="1"/>
  <c r="X119" i="14" s="1"/>
  <c r="X41" i="14" s="1"/>
  <c r="S110" i="14"/>
  <c r="O110" i="14"/>
  <c r="S109" i="14"/>
  <c r="O109" i="14"/>
  <c r="S108" i="14"/>
  <c r="O108" i="14"/>
  <c r="S107" i="14"/>
  <c r="O107" i="14"/>
  <c r="S106" i="14"/>
  <c r="O106" i="14"/>
  <c r="S105" i="14"/>
  <c r="O105" i="14"/>
  <c r="R103" i="14"/>
  <c r="O103" i="14"/>
  <c r="S102" i="14"/>
  <c r="O102" i="14"/>
  <c r="R101" i="14"/>
  <c r="O101" i="14"/>
  <c r="S100" i="14"/>
  <c r="O100" i="14"/>
  <c r="Q99" i="14"/>
  <c r="Q119" i="14" s="1"/>
  <c r="Q41" i="14" s="1"/>
  <c r="O99" i="14"/>
  <c r="S98" i="14"/>
  <c r="O98" i="14"/>
  <c r="T95" i="14"/>
  <c r="T40" i="14" s="1"/>
  <c r="Q95" i="14"/>
  <c r="Q40" i="14" s="1"/>
  <c r="P95" i="14"/>
  <c r="P40" i="14" s="1"/>
  <c r="N95" i="14"/>
  <c r="N40" i="14" s="1"/>
  <c r="M95" i="14"/>
  <c r="M40" i="14" s="1"/>
  <c r="L95" i="14"/>
  <c r="L40" i="14" s="1"/>
  <c r="K95" i="14"/>
  <c r="K40" i="14" s="1"/>
  <c r="J95" i="14"/>
  <c r="J40" i="14" s="1"/>
  <c r="I95" i="14"/>
  <c r="I40" i="14" s="1"/>
  <c r="H95" i="14"/>
  <c r="H40" i="14" s="1"/>
  <c r="G95" i="14"/>
  <c r="G40" i="14" s="1"/>
  <c r="F95" i="14"/>
  <c r="F40" i="14" s="1"/>
  <c r="E95" i="14"/>
  <c r="E40" i="14" s="1"/>
  <c r="D95" i="14"/>
  <c r="D40" i="14" s="1"/>
  <c r="C95" i="14"/>
  <c r="C40" i="14" s="1"/>
  <c r="B95" i="14"/>
  <c r="B40" i="14" s="1"/>
  <c r="S92" i="14"/>
  <c r="O92" i="14"/>
  <c r="S91" i="14"/>
  <c r="O91" i="14"/>
  <c r="S90" i="14"/>
  <c r="O90" i="14"/>
  <c r="S89" i="14"/>
  <c r="O89" i="14"/>
  <c r="S88" i="14"/>
  <c r="O88" i="14"/>
  <c r="S87" i="14"/>
  <c r="O87" i="14"/>
  <c r="V86" i="14"/>
  <c r="S86" i="14"/>
  <c r="O86" i="14"/>
  <c r="S85" i="14"/>
  <c r="S84" i="14"/>
  <c r="O84" i="14"/>
  <c r="S83" i="14"/>
  <c r="O83" i="14"/>
  <c r="S82" i="14"/>
  <c r="O82" i="14"/>
  <c r="S81" i="14"/>
  <c r="O81" i="14"/>
  <c r="S80" i="14"/>
  <c r="O80" i="14"/>
  <c r="S79" i="14"/>
  <c r="O79" i="14"/>
  <c r="R78" i="14"/>
  <c r="R95" i="14" s="1"/>
  <c r="R40" i="14" s="1"/>
  <c r="O78" i="14"/>
  <c r="S76" i="14"/>
  <c r="O76" i="14"/>
  <c r="S74" i="14"/>
  <c r="O74" i="14"/>
  <c r="V73" i="14"/>
  <c r="S73" i="14"/>
  <c r="O73" i="14"/>
  <c r="S72" i="14"/>
  <c r="O72" i="14"/>
  <c r="S71" i="14"/>
  <c r="O71" i="14"/>
  <c r="S70" i="14"/>
  <c r="O70" i="14"/>
  <c r="S69" i="14"/>
  <c r="O69" i="14"/>
  <c r="S68" i="14"/>
  <c r="O68" i="14"/>
  <c r="R64" i="14"/>
  <c r="V39" i="14" s="1"/>
  <c r="Q64" i="14"/>
  <c r="Q39" i="14" s="1"/>
  <c r="P64" i="14"/>
  <c r="P39" i="14" s="1"/>
  <c r="N64" i="14"/>
  <c r="N39" i="14" s="1"/>
  <c r="M64" i="14"/>
  <c r="M39" i="14" s="1"/>
  <c r="L64" i="14"/>
  <c r="L39" i="14" s="1"/>
  <c r="K64" i="14"/>
  <c r="K39" i="14" s="1"/>
  <c r="J64" i="14"/>
  <c r="J39" i="14" s="1"/>
  <c r="I64" i="14"/>
  <c r="I39" i="14" s="1"/>
  <c r="H64" i="14"/>
  <c r="H39" i="14" s="1"/>
  <c r="G64" i="14"/>
  <c r="G39" i="14" s="1"/>
  <c r="F64" i="14"/>
  <c r="F39" i="14" s="1"/>
  <c r="E64" i="14"/>
  <c r="E39" i="14" s="1"/>
  <c r="D64" i="14"/>
  <c r="D39" i="14" s="1"/>
  <c r="C64" i="14"/>
  <c r="C39" i="14" s="1"/>
  <c r="B64" i="14"/>
  <c r="B39" i="14" s="1"/>
  <c r="S62" i="14"/>
  <c r="S64" i="14" s="1"/>
  <c r="O62" i="14"/>
  <c r="O64" i="14" s="1"/>
  <c r="T59" i="14"/>
  <c r="T38" i="14" s="1"/>
  <c r="R59" i="14"/>
  <c r="R38" i="14" s="1"/>
  <c r="Q59" i="14"/>
  <c r="Q38" i="14" s="1"/>
  <c r="P59" i="14"/>
  <c r="P38" i="14" s="1"/>
  <c r="N59" i="14"/>
  <c r="N38" i="14" s="1"/>
  <c r="M59" i="14"/>
  <c r="M38" i="14" s="1"/>
  <c r="L59" i="14"/>
  <c r="L38" i="14" s="1"/>
  <c r="K59" i="14"/>
  <c r="K38" i="14" s="1"/>
  <c r="J59" i="14"/>
  <c r="J38" i="14" s="1"/>
  <c r="I59" i="14"/>
  <c r="I38" i="14" s="1"/>
  <c r="H59" i="14"/>
  <c r="H38" i="14" s="1"/>
  <c r="G59" i="14"/>
  <c r="G38" i="14" s="1"/>
  <c r="F59" i="14"/>
  <c r="F38" i="14" s="1"/>
  <c r="E59" i="14"/>
  <c r="E38" i="14" s="1"/>
  <c r="D59" i="14"/>
  <c r="D38" i="14" s="1"/>
  <c r="C59" i="14"/>
  <c r="C38" i="14" s="1"/>
  <c r="B59" i="14"/>
  <c r="B38" i="14" s="1"/>
  <c r="S57" i="14"/>
  <c r="O57" i="14"/>
  <c r="S56" i="14"/>
  <c r="O56" i="14"/>
  <c r="V55" i="14"/>
  <c r="X55" i="14" s="1"/>
  <c r="O55" i="14"/>
  <c r="V54" i="14"/>
  <c r="X54" i="14" s="1"/>
  <c r="S54" i="14"/>
  <c r="O54" i="14"/>
  <c r="R43" i="14"/>
  <c r="T39" i="14"/>
  <c r="R36" i="14"/>
  <c r="P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S34" i="14"/>
  <c r="O34" i="14"/>
  <c r="S33" i="14"/>
  <c r="O33" i="14"/>
  <c r="S32" i="14"/>
  <c r="O32" i="14"/>
  <c r="S31" i="14"/>
  <c r="O31" i="14"/>
  <c r="S30" i="14"/>
  <c r="O30" i="14"/>
  <c r="S29" i="14"/>
  <c r="O29" i="14"/>
  <c r="S28" i="14"/>
  <c r="O28" i="14"/>
  <c r="S25" i="14"/>
  <c r="O25" i="14"/>
  <c r="S24" i="14"/>
  <c r="O24" i="14"/>
  <c r="S21" i="14"/>
  <c r="O21" i="14"/>
  <c r="S20" i="14"/>
  <c r="O20" i="14"/>
  <c r="S19" i="14"/>
  <c r="O19" i="14"/>
  <c r="S18" i="14"/>
  <c r="O18" i="14"/>
  <c r="S17" i="14"/>
  <c r="O17" i="14"/>
  <c r="S16" i="14"/>
  <c r="O16" i="14"/>
  <c r="S15" i="14"/>
  <c r="O15" i="14"/>
  <c r="S14" i="14"/>
  <c r="O14" i="14"/>
  <c r="S13" i="14"/>
  <c r="O13" i="14"/>
  <c r="S12" i="14"/>
  <c r="O12" i="14"/>
  <c r="S11" i="14"/>
  <c r="O11" i="14"/>
  <c r="S10" i="14"/>
  <c r="O10" i="14"/>
  <c r="S9" i="14"/>
  <c r="O9" i="14"/>
  <c r="Q7" i="14"/>
  <c r="S7" i="14" s="1"/>
  <c r="O7" i="14"/>
  <c r="Q6" i="14"/>
  <c r="S6" i="14" s="1"/>
  <c r="O6" i="14"/>
  <c r="Q5" i="14"/>
  <c r="S5" i="14" s="1"/>
  <c r="O5" i="14"/>
  <c r="Q4" i="14"/>
  <c r="S4" i="14" s="1"/>
  <c r="O4" i="14"/>
  <c r="X36" i="14" l="1"/>
  <c r="X59" i="14"/>
  <c r="X38" i="14" s="1"/>
  <c r="V59" i="14"/>
  <c r="S40" i="14"/>
  <c r="S43" i="14"/>
  <c r="M46" i="14"/>
  <c r="M48" i="14" s="1"/>
  <c r="S154" i="14"/>
  <c r="O139" i="14"/>
  <c r="V95" i="14"/>
  <c r="V40" i="14" s="1"/>
  <c r="V154" i="14"/>
  <c r="V44" i="14" s="1"/>
  <c r="O154" i="14"/>
  <c r="V139" i="14"/>
  <c r="V42" i="14" s="1"/>
  <c r="S59" i="14"/>
  <c r="B46" i="14"/>
  <c r="B48" i="14" s="1"/>
  <c r="G46" i="14"/>
  <c r="G48" i="14" s="1"/>
  <c r="O42" i="14"/>
  <c r="O119" i="14"/>
  <c r="D46" i="14"/>
  <c r="D48" i="14" s="1"/>
  <c r="H46" i="14"/>
  <c r="H48" i="14" s="1"/>
  <c r="T46" i="14"/>
  <c r="R119" i="14"/>
  <c r="R41" i="14" s="1"/>
  <c r="S41" i="14" s="1"/>
  <c r="N46" i="14"/>
  <c r="N48" i="14" s="1"/>
  <c r="E46" i="14"/>
  <c r="E48" i="14" s="1"/>
  <c r="S38" i="14"/>
  <c r="R39" i="14"/>
  <c r="S39" i="14" s="1"/>
  <c r="O41" i="14"/>
  <c r="R154" i="14"/>
  <c r="R44" i="14" s="1"/>
  <c r="S44" i="14" s="1"/>
  <c r="O95" i="14"/>
  <c r="P46" i="14"/>
  <c r="P158" i="14" s="1"/>
  <c r="J46" i="14"/>
  <c r="J48" i="14" s="1"/>
  <c r="S36" i="14"/>
  <c r="K46" i="14"/>
  <c r="K48" i="14" s="1"/>
  <c r="F46" i="14"/>
  <c r="F48" i="14" s="1"/>
  <c r="C46" i="14"/>
  <c r="C48" i="14" s="1"/>
  <c r="O39" i="14"/>
  <c r="L46" i="14"/>
  <c r="L48" i="14" s="1"/>
  <c r="O40" i="14"/>
  <c r="I46" i="14"/>
  <c r="I48" i="14" s="1"/>
  <c r="Q36" i="14"/>
  <c r="Q46" i="14"/>
  <c r="Q158" i="14" s="1"/>
  <c r="O43" i="14"/>
  <c r="S78" i="14"/>
  <c r="S95" i="14" s="1"/>
  <c r="V119" i="14"/>
  <c r="V41" i="14" s="1"/>
  <c r="S103" i="14"/>
  <c r="V38" i="14"/>
  <c r="O38" i="14"/>
  <c r="R139" i="14"/>
  <c r="R42" i="14" s="1"/>
  <c r="S42" i="14" s="1"/>
  <c r="S122" i="14"/>
  <c r="S139" i="14" s="1"/>
  <c r="O44" i="14"/>
  <c r="O59" i="14"/>
  <c r="O36" i="14"/>
  <c r="S99" i="14"/>
  <c r="S101" i="14"/>
  <c r="T158" i="14"/>
  <c r="V158" i="14" l="1"/>
  <c r="P48" i="14"/>
  <c r="S119" i="14"/>
  <c r="S158" i="14" s="1"/>
  <c r="R46" i="14"/>
  <c r="R48" i="14" s="1"/>
  <c r="Q48" i="14"/>
  <c r="S46" i="14"/>
  <c r="S48" i="14" s="1"/>
  <c r="V46" i="14"/>
  <c r="V48" i="14" s="1"/>
  <c r="R158" i="14"/>
  <c r="S160" i="14" s="1"/>
  <c r="O46" i="14"/>
  <c r="O48" i="14" s="1"/>
  <c r="V110" i="6" l="1"/>
  <c r="V40" i="6"/>
  <c r="T43" i="6"/>
  <c r="V64" i="6"/>
  <c r="V59" i="6"/>
  <c r="V58" i="6"/>
  <c r="V57" i="6"/>
  <c r="V56" i="6"/>
  <c r="T96" i="6"/>
  <c r="T44" i="6" s="1"/>
  <c r="T123" i="6"/>
  <c r="T45" i="6" s="1"/>
  <c r="T148" i="6"/>
  <c r="T46" i="6" s="1"/>
  <c r="T153" i="6"/>
  <c r="T47" i="6" s="1"/>
  <c r="T163" i="6"/>
  <c r="T48" i="6" s="1"/>
  <c r="V161" i="6"/>
  <c r="V160" i="6"/>
  <c r="V159" i="6"/>
  <c r="V157" i="6"/>
  <c r="V151" i="6"/>
  <c r="V153" i="6" s="1"/>
  <c r="V47" i="6" s="1"/>
  <c r="V146" i="6"/>
  <c r="V145" i="6"/>
  <c r="V144" i="6"/>
  <c r="V143" i="6"/>
  <c r="V140" i="6"/>
  <c r="V139" i="6"/>
  <c r="V138" i="6"/>
  <c r="V137" i="6"/>
  <c r="V136" i="6"/>
  <c r="V135" i="6"/>
  <c r="V133" i="6"/>
  <c r="V132" i="6"/>
  <c r="V131" i="6"/>
  <c r="V130" i="6"/>
  <c r="V129" i="6"/>
  <c r="V128" i="6"/>
  <c r="V121" i="6"/>
  <c r="V120" i="6"/>
  <c r="V119" i="6"/>
  <c r="V118" i="6"/>
  <c r="V117" i="6"/>
  <c r="V116" i="6"/>
  <c r="V115" i="6"/>
  <c r="V114" i="6"/>
  <c r="V113" i="6"/>
  <c r="V112" i="6"/>
  <c r="V111" i="6"/>
  <c r="V109" i="6"/>
  <c r="V108" i="6"/>
  <c r="V107" i="6"/>
  <c r="V105" i="6"/>
  <c r="V103" i="6"/>
  <c r="V102" i="6"/>
  <c r="V101" i="6"/>
  <c r="V94" i="6"/>
  <c r="V93" i="6"/>
  <c r="V92" i="6"/>
  <c r="V91" i="6"/>
  <c r="V88" i="6"/>
  <c r="V87" i="6"/>
  <c r="V86" i="6"/>
  <c r="V85" i="6"/>
  <c r="V84" i="6"/>
  <c r="V82" i="6"/>
  <c r="V77" i="6"/>
  <c r="V75" i="6"/>
  <c r="V74" i="6"/>
  <c r="V73" i="6"/>
  <c r="V72" i="6"/>
  <c r="T61" i="6"/>
  <c r="T42" i="6" s="1"/>
  <c r="S37" i="6"/>
  <c r="R61" i="6"/>
  <c r="R42" i="6" s="1"/>
  <c r="Q61" i="6"/>
  <c r="R66" i="6"/>
  <c r="V66" i="6" s="1"/>
  <c r="V43" i="6" s="1"/>
  <c r="Q66" i="6"/>
  <c r="Q96" i="6"/>
  <c r="Q148" i="6"/>
  <c r="Q163" i="6"/>
  <c r="S161" i="6"/>
  <c r="S160" i="6"/>
  <c r="S159" i="6"/>
  <c r="S157" i="6"/>
  <c r="S151" i="6"/>
  <c r="S153" i="6" s="1"/>
  <c r="S146" i="6"/>
  <c r="S145" i="6"/>
  <c r="S144" i="6"/>
  <c r="S143" i="6"/>
  <c r="S142" i="6"/>
  <c r="S141" i="6"/>
  <c r="S140" i="6"/>
  <c r="S139" i="6"/>
  <c r="S138" i="6"/>
  <c r="S137" i="6"/>
  <c r="S136" i="6"/>
  <c r="S135" i="6"/>
  <c r="S134" i="6"/>
  <c r="S133" i="6"/>
  <c r="S132" i="6"/>
  <c r="S131" i="6"/>
  <c r="S130" i="6"/>
  <c r="S129" i="6"/>
  <c r="S128" i="6"/>
  <c r="S127" i="6"/>
  <c r="S121" i="6"/>
  <c r="S120" i="6"/>
  <c r="S119" i="6"/>
  <c r="S118" i="6"/>
  <c r="S117" i="6"/>
  <c r="S116" i="6"/>
  <c r="S115" i="6"/>
  <c r="S114" i="6"/>
  <c r="S113" i="6"/>
  <c r="S112" i="6"/>
  <c r="S111" i="6"/>
  <c r="S110" i="6"/>
  <c r="S109" i="6"/>
  <c r="S108" i="6"/>
  <c r="S105" i="6"/>
  <c r="S103" i="6"/>
  <c r="S102" i="6"/>
  <c r="S101" i="6"/>
  <c r="S99" i="6"/>
  <c r="S94" i="6"/>
  <c r="S93" i="6"/>
  <c r="S92" i="6"/>
  <c r="S91" i="6"/>
  <c r="S90" i="6"/>
  <c r="S89" i="6"/>
  <c r="S88" i="6"/>
  <c r="S87" i="6"/>
  <c r="S86" i="6"/>
  <c r="S85" i="6"/>
  <c r="S84" i="6"/>
  <c r="S83" i="6"/>
  <c r="S82" i="6"/>
  <c r="S81" i="6"/>
  <c r="S80" i="6"/>
  <c r="S79" i="6"/>
  <c r="S77" i="6"/>
  <c r="S76" i="6"/>
  <c r="S75" i="6"/>
  <c r="S74" i="6"/>
  <c r="S73" i="6"/>
  <c r="S72" i="6"/>
  <c r="S71" i="6"/>
  <c r="S70" i="6"/>
  <c r="S64" i="6"/>
  <c r="S66" i="6" s="1"/>
  <c r="S59" i="6"/>
  <c r="S58" i="6"/>
  <c r="S56" i="6"/>
  <c r="S38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8" i="6"/>
  <c r="S6" i="6"/>
  <c r="R47" i="6"/>
  <c r="R43" i="6"/>
  <c r="R158" i="6"/>
  <c r="R163" i="6" s="1"/>
  <c r="R48" i="6" s="1"/>
  <c r="R126" i="6"/>
  <c r="R148" i="6" s="1"/>
  <c r="R46" i="6" s="1"/>
  <c r="R106" i="6"/>
  <c r="S106" i="6" s="1"/>
  <c r="R104" i="6"/>
  <c r="V104" i="6" s="1"/>
  <c r="R78" i="6"/>
  <c r="S78" i="6" s="1"/>
  <c r="E20" i="13"/>
  <c r="G20" i="13" s="1"/>
  <c r="E15" i="13"/>
  <c r="G15" i="13" s="1"/>
  <c r="D15" i="13"/>
  <c r="E18" i="13"/>
  <c r="F20" i="13"/>
  <c r="D20" i="13"/>
  <c r="G18" i="13"/>
  <c r="D18" i="13"/>
  <c r="E12" i="13"/>
  <c r="G12" i="13" s="1"/>
  <c r="D12" i="13"/>
  <c r="F10" i="13"/>
  <c r="E10" i="13"/>
  <c r="D10" i="13"/>
  <c r="C7" i="13"/>
  <c r="D7" i="13" s="1"/>
  <c r="H7" i="13" s="1"/>
  <c r="C5" i="13"/>
  <c r="D5" i="13" s="1"/>
  <c r="H5" i="13" s="1"/>
  <c r="C3" i="13"/>
  <c r="D3" i="13" s="1"/>
  <c r="H3" i="13" s="1"/>
  <c r="R40" i="6"/>
  <c r="V148" i="6" l="1"/>
  <c r="V46" i="6" s="1"/>
  <c r="V78" i="6"/>
  <c r="V96" i="6" s="1"/>
  <c r="V44" i="6" s="1"/>
  <c r="H15" i="13"/>
  <c r="J15" i="13" s="1"/>
  <c r="L15" i="13" s="1"/>
  <c r="V61" i="6"/>
  <c r="V42" i="6" s="1"/>
  <c r="V123" i="6"/>
  <c r="V45" i="6" s="1"/>
  <c r="T50" i="6"/>
  <c r="G10" i="13"/>
  <c r="H10" i="13" s="1"/>
  <c r="H12" i="13"/>
  <c r="J12" i="13" s="1"/>
  <c r="L12" i="13" s="1"/>
  <c r="V106" i="6"/>
  <c r="V158" i="6"/>
  <c r="V163" i="6" s="1"/>
  <c r="V48" i="6" s="1"/>
  <c r="T167" i="6"/>
  <c r="R123" i="6"/>
  <c r="R45" i="6" s="1"/>
  <c r="S61" i="6"/>
  <c r="R96" i="6"/>
  <c r="S96" i="6"/>
  <c r="S126" i="6"/>
  <c r="S148" i="6" s="1"/>
  <c r="S104" i="6"/>
  <c r="S158" i="6"/>
  <c r="S163" i="6" s="1"/>
  <c r="J7" i="13"/>
  <c r="L7" i="13" s="1"/>
  <c r="H18" i="13"/>
  <c r="I7" i="13"/>
  <c r="J3" i="13"/>
  <c r="J10" i="13"/>
  <c r="L10" i="13" s="1"/>
  <c r="J5" i="13"/>
  <c r="L5" i="13" s="1"/>
  <c r="H20" i="13"/>
  <c r="Q100" i="6"/>
  <c r="V50" i="6" l="1"/>
  <c r="V52" i="6" s="1"/>
  <c r="I12" i="13"/>
  <c r="V167" i="6"/>
  <c r="R167" i="6"/>
  <c r="R44" i="6"/>
  <c r="R50" i="6" s="1"/>
  <c r="R52" i="6" s="1"/>
  <c r="Q123" i="6"/>
  <c r="S100" i="6"/>
  <c r="K7" i="13"/>
  <c r="N12" i="13"/>
  <c r="J20" i="13"/>
  <c r="L20" i="13" s="1"/>
  <c r="L3" i="13"/>
  <c r="N7" i="13" s="1"/>
  <c r="K12" i="13"/>
  <c r="J18" i="13"/>
  <c r="L18" i="13" s="1"/>
  <c r="S123" i="6" l="1"/>
  <c r="S167" i="6" s="1"/>
  <c r="Q9" i="6" l="1"/>
  <c r="S9" i="6" s="1"/>
  <c r="Q7" i="6"/>
  <c r="S7" i="6" s="1"/>
  <c r="Q5" i="6"/>
  <c r="S5" i="6" s="1"/>
  <c r="Q4" i="6"/>
  <c r="S4" i="6" s="1"/>
  <c r="S40" i="6" l="1"/>
  <c r="Q48" i="6" l="1"/>
  <c r="S48" i="6" s="1"/>
  <c r="Q153" i="6"/>
  <c r="Q47" i="6" s="1"/>
  <c r="S47" i="6" s="1"/>
  <c r="Q46" i="6"/>
  <c r="S46" i="6" s="1"/>
  <c r="Q45" i="6"/>
  <c r="S45" i="6" s="1"/>
  <c r="Q44" i="6"/>
  <c r="S44" i="6" s="1"/>
  <c r="Q43" i="6"/>
  <c r="S43" i="6" s="1"/>
  <c r="Q42" i="6"/>
  <c r="S42" i="6" s="1"/>
  <c r="Q40" i="6"/>
  <c r="S50" i="6" l="1"/>
  <c r="S52" i="6" s="1"/>
  <c r="Q50" i="6"/>
  <c r="Q52" i="6" l="1"/>
  <c r="Q167" i="6"/>
  <c r="S169" i="6" s="1"/>
  <c r="P163" i="6"/>
  <c r="P48" i="6" s="1"/>
  <c r="N163" i="6"/>
  <c r="N48" i="6" s="1"/>
  <c r="M163" i="6"/>
  <c r="M48" i="6" s="1"/>
  <c r="L163" i="6"/>
  <c r="L48" i="6" s="1"/>
  <c r="K163" i="6"/>
  <c r="K48" i="6" s="1"/>
  <c r="J163" i="6"/>
  <c r="J48" i="6" s="1"/>
  <c r="I163" i="6"/>
  <c r="I48" i="6" s="1"/>
  <c r="H163" i="6"/>
  <c r="H48" i="6" s="1"/>
  <c r="G163" i="6"/>
  <c r="G48" i="6" s="1"/>
  <c r="F163" i="6"/>
  <c r="F48" i="6" s="1"/>
  <c r="E163" i="6"/>
  <c r="E48" i="6" s="1"/>
  <c r="D163" i="6"/>
  <c r="D48" i="6" s="1"/>
  <c r="C163" i="6"/>
  <c r="C48" i="6" s="1"/>
  <c r="B163" i="6"/>
  <c r="B48" i="6" s="1"/>
  <c r="O159" i="6"/>
  <c r="O158" i="6"/>
  <c r="O157" i="6"/>
  <c r="P153" i="6"/>
  <c r="P47" i="6" s="1"/>
  <c r="N153" i="6"/>
  <c r="N47" i="6" s="1"/>
  <c r="M153" i="6"/>
  <c r="M47" i="6" s="1"/>
  <c r="L153" i="6"/>
  <c r="L47" i="6" s="1"/>
  <c r="K153" i="6"/>
  <c r="K47" i="6" s="1"/>
  <c r="J153" i="6"/>
  <c r="J47" i="6" s="1"/>
  <c r="I153" i="6"/>
  <c r="I47" i="6" s="1"/>
  <c r="H153" i="6"/>
  <c r="H47" i="6" s="1"/>
  <c r="G153" i="6"/>
  <c r="G47" i="6" s="1"/>
  <c r="F153" i="6"/>
  <c r="F47" i="6" s="1"/>
  <c r="E153" i="6"/>
  <c r="E47" i="6" s="1"/>
  <c r="D153" i="6"/>
  <c r="D47" i="6" s="1"/>
  <c r="C153" i="6"/>
  <c r="C47" i="6" s="1"/>
  <c r="B153" i="6"/>
  <c r="B47" i="6" s="1"/>
  <c r="O151" i="6"/>
  <c r="O153" i="6" s="1"/>
  <c r="P148" i="6"/>
  <c r="P46" i="6" s="1"/>
  <c r="N148" i="6"/>
  <c r="N46" i="6" s="1"/>
  <c r="M148" i="6"/>
  <c r="M46" i="6" s="1"/>
  <c r="L148" i="6"/>
  <c r="L46" i="6" s="1"/>
  <c r="K148" i="6"/>
  <c r="K46" i="6" s="1"/>
  <c r="J148" i="6"/>
  <c r="J46" i="6" s="1"/>
  <c r="I148" i="6"/>
  <c r="I46" i="6" s="1"/>
  <c r="H148" i="6"/>
  <c r="H46" i="6" s="1"/>
  <c r="G148" i="6"/>
  <c r="G46" i="6" s="1"/>
  <c r="F148" i="6"/>
  <c r="F46" i="6" s="1"/>
  <c r="E148" i="6"/>
  <c r="E46" i="6" s="1"/>
  <c r="D148" i="6"/>
  <c r="D46" i="6" s="1"/>
  <c r="C148" i="6"/>
  <c r="C46" i="6" s="1"/>
  <c r="B148" i="6"/>
  <c r="B46" i="6" s="1"/>
  <c r="O146" i="6"/>
  <c r="O145" i="6"/>
  <c r="O144" i="6"/>
  <c r="O143" i="6"/>
  <c r="O142" i="6"/>
  <c r="O141" i="6"/>
  <c r="O140" i="6"/>
  <c r="O139" i="6"/>
  <c r="O138" i="6"/>
  <c r="O137" i="6"/>
  <c r="O136" i="6"/>
  <c r="O135" i="6"/>
  <c r="O134" i="6"/>
  <c r="O133" i="6"/>
  <c r="O132" i="6"/>
  <c r="O131" i="6"/>
  <c r="O130" i="6"/>
  <c r="O129" i="6"/>
  <c r="O128" i="6"/>
  <c r="O127" i="6"/>
  <c r="O126" i="6"/>
  <c r="P123" i="6"/>
  <c r="P45" i="6" s="1"/>
  <c r="N123" i="6"/>
  <c r="N45" i="6" s="1"/>
  <c r="M123" i="6"/>
  <c r="M45" i="6" s="1"/>
  <c r="L123" i="6"/>
  <c r="L45" i="6" s="1"/>
  <c r="K123" i="6"/>
  <c r="K45" i="6" s="1"/>
  <c r="J123" i="6"/>
  <c r="J45" i="6" s="1"/>
  <c r="I123" i="6"/>
  <c r="I45" i="6" s="1"/>
  <c r="H123" i="6"/>
  <c r="H45" i="6" s="1"/>
  <c r="G123" i="6"/>
  <c r="G45" i="6" s="1"/>
  <c r="F123" i="6"/>
  <c r="F45" i="6" s="1"/>
  <c r="E123" i="6"/>
  <c r="E45" i="6" s="1"/>
  <c r="D123" i="6"/>
  <c r="D45" i="6" s="1"/>
  <c r="C123" i="6"/>
  <c r="C45" i="6" s="1"/>
  <c r="B123" i="6"/>
  <c r="B45" i="6" s="1"/>
  <c r="O121" i="6"/>
  <c r="O120" i="6"/>
  <c r="O119" i="6"/>
  <c r="O118" i="6"/>
  <c r="O117" i="6"/>
  <c r="O116" i="6"/>
  <c r="O115" i="6"/>
  <c r="O114" i="6"/>
  <c r="O113" i="6"/>
  <c r="O112" i="6"/>
  <c r="O111" i="6"/>
  <c r="O110" i="6"/>
  <c r="O109" i="6"/>
  <c r="O108" i="6"/>
  <c r="O106" i="6"/>
  <c r="O105" i="6"/>
  <c r="O104" i="6"/>
  <c r="O103" i="6"/>
  <c r="O102" i="6"/>
  <c r="O101" i="6"/>
  <c r="O100" i="6"/>
  <c r="O99" i="6"/>
  <c r="P96" i="6"/>
  <c r="P44" i="6" s="1"/>
  <c r="N96" i="6"/>
  <c r="N44" i="6" s="1"/>
  <c r="M96" i="6"/>
  <c r="M44" i="6" s="1"/>
  <c r="L96" i="6"/>
  <c r="L44" i="6" s="1"/>
  <c r="K96" i="6"/>
  <c r="K44" i="6" s="1"/>
  <c r="J96" i="6"/>
  <c r="J44" i="6" s="1"/>
  <c r="I96" i="6"/>
  <c r="I44" i="6" s="1"/>
  <c r="H96" i="6"/>
  <c r="H44" i="6" s="1"/>
  <c r="G96" i="6"/>
  <c r="G44" i="6" s="1"/>
  <c r="F96" i="6"/>
  <c r="F44" i="6" s="1"/>
  <c r="E96" i="6"/>
  <c r="E44" i="6" s="1"/>
  <c r="D96" i="6"/>
  <c r="D44" i="6" s="1"/>
  <c r="C96" i="6"/>
  <c r="C44" i="6" s="1"/>
  <c r="B96" i="6"/>
  <c r="B44" i="6" s="1"/>
  <c r="O94" i="6"/>
  <c r="O93" i="6"/>
  <c r="O92" i="6"/>
  <c r="O90" i="6"/>
  <c r="O89" i="6"/>
  <c r="O88" i="6"/>
  <c r="O87" i="6"/>
  <c r="O86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P66" i="6"/>
  <c r="P43" i="6" s="1"/>
  <c r="N66" i="6"/>
  <c r="N43" i="6" s="1"/>
  <c r="M66" i="6"/>
  <c r="M43" i="6" s="1"/>
  <c r="L66" i="6"/>
  <c r="L43" i="6" s="1"/>
  <c r="K66" i="6"/>
  <c r="K43" i="6" s="1"/>
  <c r="J66" i="6"/>
  <c r="J43" i="6" s="1"/>
  <c r="I66" i="6"/>
  <c r="I43" i="6" s="1"/>
  <c r="H66" i="6"/>
  <c r="H43" i="6" s="1"/>
  <c r="G66" i="6"/>
  <c r="G43" i="6" s="1"/>
  <c r="F66" i="6"/>
  <c r="F43" i="6" s="1"/>
  <c r="E66" i="6"/>
  <c r="E43" i="6" s="1"/>
  <c r="D66" i="6"/>
  <c r="D43" i="6" s="1"/>
  <c r="C66" i="6"/>
  <c r="C43" i="6" s="1"/>
  <c r="B66" i="6"/>
  <c r="B43" i="6" s="1"/>
  <c r="O64" i="6"/>
  <c r="O66" i="6" s="1"/>
  <c r="P61" i="6"/>
  <c r="P42" i="6" s="1"/>
  <c r="N61" i="6"/>
  <c r="N42" i="6" s="1"/>
  <c r="M61" i="6"/>
  <c r="M42" i="6" s="1"/>
  <c r="L61" i="6"/>
  <c r="L42" i="6" s="1"/>
  <c r="K61" i="6"/>
  <c r="K42" i="6" s="1"/>
  <c r="J61" i="6"/>
  <c r="J42" i="6" s="1"/>
  <c r="I61" i="6"/>
  <c r="I42" i="6" s="1"/>
  <c r="H61" i="6"/>
  <c r="H42" i="6" s="1"/>
  <c r="G61" i="6"/>
  <c r="G42" i="6" s="1"/>
  <c r="F61" i="6"/>
  <c r="F42" i="6" s="1"/>
  <c r="E61" i="6"/>
  <c r="E42" i="6" s="1"/>
  <c r="D61" i="6"/>
  <c r="D42" i="6" s="1"/>
  <c r="C61" i="6"/>
  <c r="C42" i="6" s="1"/>
  <c r="B61" i="6"/>
  <c r="B42" i="6" s="1"/>
  <c r="O59" i="6"/>
  <c r="O58" i="6"/>
  <c r="O57" i="6"/>
  <c r="O56" i="6"/>
  <c r="P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O38" i="6"/>
  <c r="O37" i="6"/>
  <c r="O36" i="6"/>
  <c r="O35" i="6"/>
  <c r="O34" i="6"/>
  <c r="O33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C50" i="6" l="1"/>
  <c r="C52" i="6" s="1"/>
  <c r="K50" i="6"/>
  <c r="K52" i="6" s="1"/>
  <c r="G50" i="6"/>
  <c r="G52" i="6" s="1"/>
  <c r="I50" i="6"/>
  <c r="I52" i="6" s="1"/>
  <c r="O45" i="6"/>
  <c r="O46" i="6"/>
  <c r="O48" i="6"/>
  <c r="D50" i="6"/>
  <c r="D52" i="6" s="1"/>
  <c r="H50" i="6"/>
  <c r="H52" i="6" s="1"/>
  <c r="L50" i="6"/>
  <c r="L52" i="6" s="1"/>
  <c r="O44" i="6"/>
  <c r="O148" i="6"/>
  <c r="O42" i="6"/>
  <c r="M50" i="6"/>
  <c r="M52" i="6" s="1"/>
  <c r="O96" i="6"/>
  <c r="O163" i="6"/>
  <c r="E50" i="6"/>
  <c r="E52" i="6" s="1"/>
  <c r="P50" i="6"/>
  <c r="O61" i="6"/>
  <c r="O123" i="6"/>
  <c r="O43" i="6"/>
  <c r="B50" i="6"/>
  <c r="B52" i="6" s="1"/>
  <c r="F50" i="6"/>
  <c r="F52" i="6" s="1"/>
  <c r="J50" i="6"/>
  <c r="J52" i="6" s="1"/>
  <c r="N50" i="6"/>
  <c r="N52" i="6" s="1"/>
  <c r="O47" i="6"/>
  <c r="O40" i="6"/>
  <c r="P52" i="6" l="1"/>
  <c r="P167" i="6"/>
  <c r="O50" i="6"/>
  <c r="O52" i="6" s="1"/>
  <c r="X44" i="14"/>
  <c r="X46" i="14" s="1"/>
  <c r="X48" i="14" s="1"/>
  <c r="X158" i="14"/>
</calcChain>
</file>

<file path=xl/sharedStrings.xml><?xml version="1.0" encoding="utf-8"?>
<sst xmlns="http://schemas.openxmlformats.org/spreadsheetml/2006/main" count="334" uniqueCount="162">
  <si>
    <t>City of Coolidge General</t>
  </si>
  <si>
    <t>Revenue</t>
  </si>
  <si>
    <t>Taxes - Real Property C</t>
  </si>
  <si>
    <t>Taxes - Public Utility</t>
  </si>
  <si>
    <t>Taxes - Motor Vehicle</t>
  </si>
  <si>
    <t>MV TAVT</t>
  </si>
  <si>
    <t>Taxes - Mobile Home</t>
  </si>
  <si>
    <t>Intangibles (Reg. &amp; Rec</t>
  </si>
  <si>
    <t>Taxes - Railroad Equip</t>
  </si>
  <si>
    <t>R/E Transfer (Intangibl</t>
  </si>
  <si>
    <t>Fran. Tax - Electric</t>
  </si>
  <si>
    <t>Excise Tax</t>
  </si>
  <si>
    <t>Fran. Tax - Telephone</t>
  </si>
  <si>
    <t>Lost Motor Vehicle</t>
  </si>
  <si>
    <t xml:space="preserve">Local Option Sales &amp; </t>
  </si>
  <si>
    <t>SPLOST MV</t>
  </si>
  <si>
    <t>Alcoholic Beverage Ex</t>
  </si>
  <si>
    <t>Insurance Premium Taxe</t>
  </si>
  <si>
    <t>Pen. &amp; Int. on Del. Taxe</t>
  </si>
  <si>
    <t>FiFa</t>
  </si>
  <si>
    <t>General Business Licen</t>
  </si>
  <si>
    <t>Insurance Licenses</t>
  </si>
  <si>
    <t xml:space="preserve">Police Patrol=Grant = </t>
  </si>
  <si>
    <t>Sales Tax - Recreation</t>
  </si>
  <si>
    <t>Court Costs, Fees, &amp; Ch</t>
  </si>
  <si>
    <t>Refuse Collection Char</t>
  </si>
  <si>
    <t>Yard Trimmings Charge</t>
  </si>
  <si>
    <t>water</t>
  </si>
  <si>
    <t>Fines - Municipal Cour</t>
  </si>
  <si>
    <t>Interest Revenue</t>
  </si>
  <si>
    <t>Reimb. for Damaged Pro</t>
  </si>
  <si>
    <t>Other Revenue</t>
  </si>
  <si>
    <t>Misc. Rev. Carryover pr</t>
  </si>
  <si>
    <t>Total Revenue</t>
  </si>
  <si>
    <t>Executive Department</t>
  </si>
  <si>
    <t>Elections</t>
  </si>
  <si>
    <t>Financial Administrati</t>
  </si>
  <si>
    <t>Police Department - Pat</t>
  </si>
  <si>
    <t>Street Department - Cle</t>
  </si>
  <si>
    <t>Solid Waste Disposal</t>
  </si>
  <si>
    <t>Culture/Recreation</t>
  </si>
  <si>
    <t>Total Expenses</t>
  </si>
  <si>
    <t xml:space="preserve">Excess Income </t>
  </si>
  <si>
    <t>Mayor/Council Fees</t>
  </si>
  <si>
    <t>Mayor/Council Soc Sec</t>
  </si>
  <si>
    <t>Mayor/Council Travel</t>
  </si>
  <si>
    <t>Mayor/Council Trainin</t>
  </si>
  <si>
    <t>Contract Labor</t>
  </si>
  <si>
    <t>Total Elections</t>
  </si>
  <si>
    <t>Financial Administration</t>
  </si>
  <si>
    <t>Reg. Employee Salaries</t>
  </si>
  <si>
    <t>Social Security Cont.</t>
  </si>
  <si>
    <t>Unemployment Insuran</t>
  </si>
  <si>
    <t>Workers' Compensation</t>
  </si>
  <si>
    <t xml:space="preserve">Finance = professional </t>
  </si>
  <si>
    <t>Accounting &amp; Auditin</t>
  </si>
  <si>
    <t>Attorney Fees</t>
  </si>
  <si>
    <t>Other Consulting Fees</t>
  </si>
  <si>
    <t>Technical Services</t>
  </si>
  <si>
    <t>Cleaning Services</t>
  </si>
  <si>
    <t>Rep &amp; Maint- Equipme</t>
  </si>
  <si>
    <t>Rep &amp; Maint. - Bldg.</t>
  </si>
  <si>
    <t>Insurance</t>
  </si>
  <si>
    <t>Telephone</t>
  </si>
  <si>
    <t>Advertising</t>
  </si>
  <si>
    <t>Travel</t>
  </si>
  <si>
    <t>Dues &amp; Fees</t>
  </si>
  <si>
    <t>Education &amp; Training</t>
  </si>
  <si>
    <t>General Supplies</t>
  </si>
  <si>
    <t>Electricity</t>
  </si>
  <si>
    <t>Water Expense</t>
  </si>
  <si>
    <t>Other Equipment</t>
  </si>
  <si>
    <t>Intergovern Commissio</t>
  </si>
  <si>
    <t>Workers Compensation</t>
  </si>
  <si>
    <t>Other Employee Benefit</t>
  </si>
  <si>
    <t>Police = Professional S</t>
  </si>
  <si>
    <t>Rep &amp; Maint Equipmen</t>
  </si>
  <si>
    <t>Rep &amp; Maint. - Vehicle</t>
  </si>
  <si>
    <t>A &amp; B Dues/ POTF'S/S</t>
  </si>
  <si>
    <t>Prisoner Housing</t>
  </si>
  <si>
    <t>Gasoline</t>
  </si>
  <si>
    <t xml:space="preserve">Police = Patrol = Grant </t>
  </si>
  <si>
    <t>Street Department - Cleaning</t>
  </si>
  <si>
    <t>Streets - Professional S</t>
  </si>
  <si>
    <t>Streets = Technical Serv</t>
  </si>
  <si>
    <t>Street Maintenance</t>
  </si>
  <si>
    <t>Rep &amp; Maint.- Equipme</t>
  </si>
  <si>
    <t xml:space="preserve">Streets = Maint/Repair </t>
  </si>
  <si>
    <t>Rep &amp; Maint.- Vehicle</t>
  </si>
  <si>
    <t>Streets = communicatio</t>
  </si>
  <si>
    <t>Landfill Dues</t>
  </si>
  <si>
    <t>Street Lights</t>
  </si>
  <si>
    <t>Gasoline &amp; Diesel</t>
  </si>
  <si>
    <t>Small Equipment</t>
  </si>
  <si>
    <t>Other Supplies</t>
  </si>
  <si>
    <t>Disposal Cost</t>
  </si>
  <si>
    <t>Recreation - rentals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</si>
  <si>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</si>
  <si>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</si>
  <si>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</si>
  <si>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</si>
  <si>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</si>
  <si>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</si>
  <si>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</si>
  <si>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</si>
  <si>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</si>
  <si>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</si>
  <si>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</si>
  <si>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</si>
  <si>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Taxes - Real Property -</t>
  </si>
  <si>
    <t>Election Qualifying fees</t>
  </si>
  <si>
    <t>Exe</t>
  </si>
  <si>
    <t>FINANCE</t>
  </si>
  <si>
    <t>gen obligation debt</t>
  </si>
  <si>
    <t>Total Executive Department</t>
  </si>
  <si>
    <t>Total Financial Administration Expenses</t>
  </si>
  <si>
    <t>Police Department</t>
  </si>
  <si>
    <t>Total Police Department Expenses</t>
  </si>
  <si>
    <t>Total Street Department Expenses</t>
  </si>
  <si>
    <t>Total Solid Waste Disposal Expenses</t>
  </si>
  <si>
    <t>Recreation</t>
  </si>
  <si>
    <t>Total Culture/Recreation Expenses</t>
  </si>
  <si>
    <t>Recreation contract labor</t>
  </si>
  <si>
    <t>2020 budget</t>
  </si>
  <si>
    <t>aug'19 - jul'10</t>
  </si>
  <si>
    <t>Beer &amp; Wine Licenses</t>
  </si>
  <si>
    <t>Ferrell</t>
  </si>
  <si>
    <t>Mock</t>
  </si>
  <si>
    <t>Sheffield</t>
  </si>
  <si>
    <t>officer 1</t>
  </si>
  <si>
    <t>officer 2</t>
  </si>
  <si>
    <t>hourly rate</t>
  </si>
  <si>
    <t>reg hours</t>
  </si>
  <si>
    <t>total</t>
  </si>
  <si>
    <t>ot rate</t>
  </si>
  <si>
    <t>ot hours</t>
  </si>
  <si>
    <t>ot total</t>
  </si>
  <si>
    <t>TOTAL</t>
  </si>
  <si>
    <t>Sub TOTAL</t>
  </si>
  <si>
    <t>TO</t>
  </si>
  <si>
    <t>2021 Adopted</t>
  </si>
  <si>
    <t>Carver</t>
  </si>
  <si>
    <t>Hancock</t>
  </si>
  <si>
    <t>floater</t>
  </si>
  <si>
    <t>Printing and Binding</t>
  </si>
  <si>
    <t>Utilities</t>
  </si>
  <si>
    <t>Ballfield - Maint / Repair</t>
  </si>
  <si>
    <t xml:space="preserve">     ACTUAL                            07.01.20-06.30.21</t>
  </si>
  <si>
    <t>2021 Projected Yearend</t>
  </si>
  <si>
    <t>Rep &amp; Maint Building</t>
  </si>
  <si>
    <t>2022 Proposed Budget</t>
  </si>
  <si>
    <t>difference</t>
  </si>
  <si>
    <t>City Manager Salary</t>
  </si>
  <si>
    <t>City Manager Soc Sec</t>
  </si>
  <si>
    <t>Computer software - 1st year</t>
  </si>
  <si>
    <t>2022 Approved Budget</t>
  </si>
  <si>
    <t>Direct State Grants</t>
  </si>
  <si>
    <t>I/G Rev-State Grant</t>
  </si>
  <si>
    <t>Qualifying Election Fees</t>
  </si>
  <si>
    <t>Contributions from Private Source</t>
  </si>
  <si>
    <t>Attorney = Regency Park</t>
  </si>
  <si>
    <t>Settlement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</si>
</sst>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7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7"/>
      <color rgb="FFFFFFFF"/>
      <name val="Times New Roman"/>
      <family val="1"/>
    </font>
    <font>
      <b/>
      <sz val="11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99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/>
    <xf numFmtId="49" fontId="3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3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3" fontId="0" fillId="2" borderId="1" xfId="0" applyNumberFormat="1" applyFill="1" applyBorder="1"/>
    <xf numFmtId="3" fontId="4" fillId="0" borderId="1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/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0" fontId="6" fillId="0" borderId="1" xfId="0" applyFont="1" applyBorder="1"/>
    <xf numFmtId="3" fontId="6" fillId="0" borderId="1" xfId="0" applyNumberFormat="1" applyFont="1" applyBorder="1"/>
    <xf numFmtId="3" fontId="6" fillId="2" borderId="1" xfId="0" applyNumberFormat="1" applyFont="1" applyFill="1" applyBorder="1"/>
    <xf numFmtId="0" fontId="7" fillId="0" borderId="0" xfId="0" applyFont="1"/>
    <xf numFmtId="49" fontId="8" fillId="0" borderId="1" xfId="0" applyNumberFormat="1" applyFont="1" applyBorder="1" applyAlignment="1">
      <alignment horizontal="left" vertical="center"/>
    </xf>
    <xf numFmtId="3" fontId="8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3" fontId="10" fillId="0" borderId="1" xfId="0" applyNumberFormat="1" applyFont="1" applyBorder="1" applyAlignment="1">
      <alignment vertical="center" wrapText="1"/>
    </xf>
    <xf numFmtId="3" fontId="11" fillId="0" borderId="1" xfId="0" applyNumberFormat="1" applyFont="1" applyBorder="1"/>
    <xf numFmtId="3" fontId="11" fillId="2" borderId="1" xfId="0" applyNumberFormat="1" applyFont="1" applyFill="1" applyBorder="1"/>
    <xf numFmtId="0" fontId="11" fillId="0" borderId="0" xfId="0" applyFont="1"/>
    <xf numFmtId="3" fontId="11" fillId="3" borderId="1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vertical="center" wrapText="1"/>
    </xf>
    <xf numFmtId="3" fontId="13" fillId="2" borderId="1" xfId="0" applyNumberFormat="1" applyFont="1" applyFill="1" applyBorder="1"/>
    <xf numFmtId="3" fontId="13" fillId="3" borderId="1" xfId="0" applyNumberFormat="1" applyFont="1" applyFill="1" applyBorder="1"/>
    <xf numFmtId="0" fontId="13" fillId="0" borderId="0" xfId="0" applyFont="1"/>
    <xf numFmtId="0" fontId="9" fillId="0" borderId="1" xfId="0" applyFont="1" applyBorder="1"/>
    <xf numFmtId="3" fontId="13" fillId="0" borderId="1" xfId="0" applyNumberFormat="1" applyFont="1" applyBorder="1"/>
    <xf numFmtId="0" fontId="13" fillId="0" borderId="1" xfId="0" applyFont="1" applyBorder="1"/>
    <xf numFmtId="4" fontId="0" fillId="0" borderId="0" xfId="0" applyNumberFormat="1"/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4" fontId="3" fillId="0" borderId="0" xfId="0" applyNumberFormat="1" applyFont="1" applyAlignment="1">
      <alignment horizontal="center"/>
    </xf>
    <xf numFmtId="164" fontId="0" fillId="0" borderId="0" xfId="0" applyNumberFormat="1"/>
    <xf numFmtId="3" fontId="3" fillId="3" borderId="1" xfId="0" applyNumberFormat="1" applyFont="1" applyFill="1" applyBorder="1"/>
    <xf numFmtId="3" fontId="0" fillId="3" borderId="1" xfId="0" applyNumberFormat="1" applyFill="1" applyBorder="1"/>
    <xf numFmtId="3" fontId="6" fillId="0" borderId="1" xfId="0" applyNumberFormat="1" applyFont="1" applyBorder="1" applyAlignment="1">
      <alignment horizontal="center"/>
    </xf>
    <xf numFmtId="3" fontId="7" fillId="3" borderId="1" xfId="0" applyNumberFormat="1" applyFont="1" applyFill="1" applyBorder="1"/>
    <xf numFmtId="3" fontId="13" fillId="4" borderId="1" xfId="0" applyNumberFormat="1" applyFont="1" applyFill="1" applyBorder="1"/>
    <xf numFmtId="3" fontId="11" fillId="5" borderId="1" xfId="0" applyNumberFormat="1" applyFont="1" applyFill="1" applyBorder="1"/>
    <xf numFmtId="3" fontId="11" fillId="6" borderId="1" xfId="0" applyNumberFormat="1" applyFont="1" applyFill="1" applyBorder="1"/>
    <xf numFmtId="3" fontId="15" fillId="0" borderId="1" xfId="0" applyNumberFormat="1" applyFont="1" applyBorder="1" applyAlignment="1">
      <alignment horizontal="center" wrapText="1"/>
    </xf>
    <xf numFmtId="3" fontId="0" fillId="7" borderId="1" xfId="0" applyNumberFormat="1" applyFill="1" applyBorder="1"/>
    <xf numFmtId="3" fontId="7" fillId="7" borderId="1" xfId="0" applyNumberFormat="1" applyFont="1" applyFill="1" applyBorder="1"/>
    <xf numFmtId="0" fontId="7" fillId="0" borderId="1" xfId="0" applyFont="1" applyBorder="1"/>
    <xf numFmtId="3" fontId="11" fillId="7" borderId="1" xfId="0" applyNumberFormat="1" applyFont="1" applyFill="1" applyBorder="1"/>
    <xf numFmtId="0" fontId="11" fillId="0" borderId="1" xfId="0" applyFont="1" applyBorder="1"/>
    <xf numFmtId="3" fontId="13" fillId="7" borderId="1" xfId="0" applyNumberFormat="1" applyFont="1" applyFill="1" applyBorder="1"/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3" fontId="9" fillId="0" borderId="1" xfId="0" applyNumberFormat="1" applyFont="1" applyBorder="1"/>
    <xf numFmtId="3" fontId="9" fillId="2" borderId="1" xfId="0" applyNumberFormat="1" applyFont="1" applyFill="1" applyBorder="1"/>
    <xf numFmtId="3" fontId="9" fillId="3" borderId="1" xfId="0" applyNumberFormat="1" applyFont="1" applyFill="1" applyBorder="1"/>
    <xf numFmtId="3" fontId="9" fillId="6" borderId="1" xfId="0" applyNumberFormat="1" applyFont="1" applyFill="1" applyBorder="1"/>
    <xf numFmtId="3" fontId="9" fillId="7" borderId="1" xfId="0" applyNumberFormat="1" applyFont="1" applyFill="1" applyBorder="1"/>
    <xf numFmtId="0" fontId="9" fillId="0" borderId="0" xfId="0" applyFont="1"/>
    <xf numFmtId="3" fontId="3" fillId="8" borderId="1" xfId="0" applyNumberFormat="1" applyFont="1" applyFill="1" applyBorder="1"/>
    <xf numFmtId="3" fontId="0" fillId="8" borderId="1" xfId="0" applyNumberFormat="1" applyFill="1" applyBorder="1"/>
    <xf numFmtId="3" fontId="7" fillId="8" borderId="1" xfId="0" applyNumberFormat="1" applyFont="1" applyFill="1" applyBorder="1"/>
    <xf numFmtId="3" fontId="11" fillId="8" borderId="1" xfId="0" applyNumberFormat="1" applyFont="1" applyFill="1" applyBorder="1"/>
    <xf numFmtId="3" fontId="13" fillId="8" borderId="1" xfId="0" applyNumberFormat="1" applyFont="1" applyFill="1" applyBorder="1"/>
    <xf numFmtId="3" fontId="9" fillId="8" borderId="1" xfId="0" applyNumberFormat="1" applyFont="1" applyFill="1" applyBorder="1"/>
    <xf numFmtId="3" fontId="1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C8502-6C9A-4BDC-BE92-5589B42E4AD0}">
  <dimension ref="A1:AA162"/>
  <sheetViews>
    <sheetView tabSelected="1" zoomScale="110" zoomScaleNormal="110" zoomScaleSheetLayoutView="70" workbookViewId="0">
      <pane ySplit="1" topLeftCell="A2" activePane="bottomLeft" state="frozen"/>
      <selection activeCell="H10" sqref="H10"/>
      <selection pane="bottomLeft" activeCell="A2" sqref="A2"/>
    </sheetView>
  </sheetViews>
  <sheetFormatPr defaultRowHeight="20.100000000000001" customHeight="1" x14ac:dyDescent="0.3"/>
  <cols>
    <col min="1" max="1" width="24.6640625" customWidth="1"/>
    <col min="2" max="12" width="15.6640625" style="5" hidden="1" customWidth="1"/>
    <col min="13" max="15" width="15.6640625" hidden="1" customWidth="1"/>
    <col min="16" max="16" width="14.5546875" style="5" hidden="1" customWidth="1"/>
    <col min="17" max="17" width="16.33203125" style="5" hidden="1" customWidth="1"/>
    <col min="18" max="18" width="20.5546875" style="5" hidden="1" customWidth="1"/>
    <col min="19" max="20" width="19.109375" style="5" hidden="1" customWidth="1"/>
    <col min="21" max="21" width="8" hidden="1" customWidth="1"/>
    <col min="22" max="22" width="23.5546875" style="5" hidden="1" customWidth="1"/>
    <col min="24" max="24" width="23.5546875" style="5" customWidth="1"/>
  </cols>
  <sheetData>
    <row r="1" spans="1:24" ht="39" customHeight="1" x14ac:dyDescent="0.3">
      <c r="A1" s="19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0"/>
      <c r="N1" s="20"/>
      <c r="O1" s="22" t="s">
        <v>124</v>
      </c>
      <c r="P1" s="25" t="s">
        <v>123</v>
      </c>
      <c r="Q1" s="53" t="s">
        <v>140</v>
      </c>
      <c r="R1" s="60" t="s">
        <v>147</v>
      </c>
      <c r="S1" s="7"/>
      <c r="T1" s="60" t="s">
        <v>148</v>
      </c>
      <c r="U1" s="6"/>
      <c r="V1" s="77" t="s">
        <v>150</v>
      </c>
      <c r="X1" s="77" t="s">
        <v>155</v>
      </c>
    </row>
    <row r="2" spans="1:24" s="18" customFormat="1" ht="20.100000000000001" customHeight="1" x14ac:dyDescent="0.3">
      <c r="A2" s="17"/>
      <c r="B2" s="16" t="s">
        <v>97</v>
      </c>
      <c r="C2" s="16" t="s">
        <v>98</v>
      </c>
      <c r="D2" s="16" t="s">
        <v>99</v>
      </c>
      <c r="E2" s="16" t="s">
        <v>100</v>
      </c>
      <c r="F2" s="16" t="s">
        <v>101</v>
      </c>
      <c r="G2" s="16" t="s">
        <v>102</v>
      </c>
      <c r="H2" s="16" t="s">
        <v>103</v>
      </c>
      <c r="I2" s="16" t="s">
        <v>104</v>
      </c>
      <c r="J2" s="16" t="s">
        <v>105</v>
      </c>
      <c r="K2" s="16" t="s">
        <v>106</v>
      </c>
      <c r="L2" s="16" t="s">
        <v>107</v>
      </c>
      <c r="M2" s="17" t="s">
        <v>108</v>
      </c>
      <c r="N2" s="17"/>
      <c r="O2" s="17"/>
      <c r="P2" s="21"/>
      <c r="Q2" s="55"/>
      <c r="R2" s="21"/>
      <c r="S2" s="21"/>
      <c r="T2" s="21"/>
      <c r="U2" s="17"/>
      <c r="V2" s="21"/>
      <c r="X2" s="21"/>
    </row>
    <row r="3" spans="1:24" ht="20.100000000000001" customHeight="1" x14ac:dyDescent="0.3">
      <c r="A3" s="32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6"/>
      <c r="N3" s="6"/>
      <c r="O3" s="6"/>
      <c r="P3" s="7"/>
      <c r="Q3" s="7"/>
      <c r="R3" s="7"/>
      <c r="S3" s="7"/>
      <c r="T3" s="7"/>
      <c r="U3" s="6"/>
      <c r="V3" s="7"/>
      <c r="X3" s="7"/>
    </row>
    <row r="4" spans="1:24" ht="20.100000000000001" customHeight="1" x14ac:dyDescent="0.3">
      <c r="A4" s="8" t="s">
        <v>2</v>
      </c>
      <c r="B4" s="9"/>
      <c r="C4" s="9"/>
      <c r="D4" s="9">
        <v>9581</v>
      </c>
      <c r="E4" s="9">
        <v>32008</v>
      </c>
      <c r="F4" s="9">
        <v>65883</v>
      </c>
      <c r="G4" s="9">
        <v>1886</v>
      </c>
      <c r="H4" s="9">
        <v>3418</v>
      </c>
      <c r="I4" s="9">
        <v>4281</v>
      </c>
      <c r="J4" s="9">
        <v>466</v>
      </c>
      <c r="K4" s="9">
        <v>975</v>
      </c>
      <c r="L4" s="9"/>
      <c r="M4" s="6"/>
      <c r="N4" s="6"/>
      <c r="O4" s="7">
        <f>SUM(B4:N4)</f>
        <v>118498</v>
      </c>
      <c r="P4" s="23">
        <v>116495</v>
      </c>
      <c r="Q4" s="54">
        <f>109744-271</f>
        <v>109473</v>
      </c>
      <c r="R4" s="7">
        <v>110578</v>
      </c>
      <c r="S4" s="61">
        <f>Q4-R4</f>
        <v>-1105</v>
      </c>
      <c r="T4" s="61"/>
      <c r="U4" s="6"/>
      <c r="V4" s="78">
        <v>113087</v>
      </c>
      <c r="X4" s="78">
        <f>113087+300</f>
        <v>113387</v>
      </c>
    </row>
    <row r="5" spans="1:24" ht="20.100000000000001" customHeight="1" x14ac:dyDescent="0.3">
      <c r="A5" s="8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7">
        <f t="shared" ref="O5:O34" si="0">SUM(B5:N5)</f>
        <v>0</v>
      </c>
      <c r="P5" s="23">
        <v>6400</v>
      </c>
      <c r="Q5" s="54">
        <f>6869-17</f>
        <v>6852</v>
      </c>
      <c r="R5" s="7">
        <v>4091</v>
      </c>
      <c r="S5" s="61">
        <f t="shared" ref="S5:S32" si="1">Q5-R5</f>
        <v>2761</v>
      </c>
      <c r="T5" s="61"/>
      <c r="U5" s="6"/>
      <c r="V5" s="78">
        <v>7110</v>
      </c>
      <c r="X5" s="78">
        <v>7110</v>
      </c>
    </row>
    <row r="6" spans="1:24" ht="20.100000000000001" customHeight="1" x14ac:dyDescent="0.3">
      <c r="A6" s="8" t="s">
        <v>4</v>
      </c>
      <c r="B6" s="9">
        <v>3663.7</v>
      </c>
      <c r="C6" s="9">
        <v>323</v>
      </c>
      <c r="D6" s="9">
        <v>100</v>
      </c>
      <c r="E6" s="9">
        <v>346</v>
      </c>
      <c r="F6" s="9">
        <v>84</v>
      </c>
      <c r="G6" s="9">
        <v>59</v>
      </c>
      <c r="H6" s="9"/>
      <c r="I6" s="9">
        <v>11</v>
      </c>
      <c r="J6" s="9"/>
      <c r="K6" s="9"/>
      <c r="L6" s="9"/>
      <c r="M6" s="6"/>
      <c r="N6" s="6"/>
      <c r="O6" s="7">
        <f t="shared" si="0"/>
        <v>4586.7</v>
      </c>
      <c r="P6" s="23">
        <v>5802</v>
      </c>
      <c r="Q6" s="54">
        <f>2088-5</f>
        <v>2083</v>
      </c>
      <c r="R6" s="7">
        <v>6140</v>
      </c>
      <c r="S6" s="61">
        <f t="shared" si="1"/>
        <v>-4057</v>
      </c>
      <c r="T6" s="61"/>
      <c r="U6" s="6"/>
      <c r="V6" s="78">
        <v>4725</v>
      </c>
      <c r="X6" s="78">
        <f>4725+1182</f>
        <v>5907</v>
      </c>
    </row>
    <row r="7" spans="1:24" ht="20.100000000000001" customHeight="1" x14ac:dyDescent="0.3">
      <c r="A7" s="8" t="s">
        <v>6</v>
      </c>
      <c r="B7" s="9">
        <v>150</v>
      </c>
      <c r="C7" s="9"/>
      <c r="D7" s="9">
        <v>22</v>
      </c>
      <c r="E7" s="9"/>
      <c r="F7" s="9"/>
      <c r="G7" s="9"/>
      <c r="H7" s="9">
        <v>41</v>
      </c>
      <c r="I7" s="9"/>
      <c r="J7" s="9">
        <v>975</v>
      </c>
      <c r="K7" s="9">
        <v>703</v>
      </c>
      <c r="L7" s="9">
        <v>157</v>
      </c>
      <c r="M7" s="6"/>
      <c r="N7" s="6"/>
      <c r="O7" s="7">
        <f t="shared" si="0"/>
        <v>2048</v>
      </c>
      <c r="P7" s="23">
        <v>2539</v>
      </c>
      <c r="Q7" s="54">
        <f>2405-6</f>
        <v>2399</v>
      </c>
      <c r="R7" s="7">
        <v>3096</v>
      </c>
      <c r="S7" s="61">
        <f t="shared" si="1"/>
        <v>-697</v>
      </c>
      <c r="T7" s="61"/>
      <c r="U7" s="6"/>
      <c r="V7" s="78">
        <v>2916</v>
      </c>
      <c r="X7" s="78">
        <f>2916+601</f>
        <v>3517</v>
      </c>
    </row>
    <row r="8" spans="1:24" ht="20.100000000000001" customHeight="1" x14ac:dyDescent="0.3">
      <c r="A8" s="8" t="s">
        <v>5</v>
      </c>
      <c r="B8" s="9">
        <v>738</v>
      </c>
      <c r="C8" s="9">
        <v>1110</v>
      </c>
      <c r="D8" s="9">
        <v>1162</v>
      </c>
      <c r="E8" s="9">
        <v>461</v>
      </c>
      <c r="F8" s="9">
        <v>442</v>
      </c>
      <c r="G8" s="9">
        <v>558</v>
      </c>
      <c r="H8" s="9">
        <v>234</v>
      </c>
      <c r="I8" s="9">
        <v>720</v>
      </c>
      <c r="J8" s="9">
        <v>692</v>
      </c>
      <c r="K8" s="9">
        <v>425</v>
      </c>
      <c r="L8" s="9">
        <v>702</v>
      </c>
      <c r="M8" s="6"/>
      <c r="N8" s="6"/>
      <c r="O8" s="7">
        <f t="shared" ref="O8" si="2">SUM(B8:N8)</f>
        <v>7244</v>
      </c>
      <c r="P8" s="23">
        <v>8000</v>
      </c>
      <c r="Q8" s="54">
        <v>8000</v>
      </c>
      <c r="R8" s="7">
        <v>16060</v>
      </c>
      <c r="S8" s="61">
        <f t="shared" si="1"/>
        <v>-8060</v>
      </c>
      <c r="T8" s="61"/>
      <c r="U8" s="6"/>
      <c r="V8" s="78">
        <v>16000</v>
      </c>
      <c r="X8" s="78">
        <f>16000+871</f>
        <v>16871</v>
      </c>
    </row>
    <row r="9" spans="1:24" ht="20.100000000000001" customHeight="1" x14ac:dyDescent="0.3">
      <c r="A9" s="8" t="s">
        <v>7</v>
      </c>
      <c r="B9" s="9">
        <v>6</v>
      </c>
      <c r="C9" s="9"/>
      <c r="D9" s="9"/>
      <c r="E9" s="9"/>
      <c r="F9" s="9"/>
      <c r="G9" s="9">
        <v>22</v>
      </c>
      <c r="H9" s="9"/>
      <c r="I9" s="9">
        <v>233</v>
      </c>
      <c r="J9" s="9">
        <v>262</v>
      </c>
      <c r="K9" s="9"/>
      <c r="L9" s="9"/>
      <c r="M9" s="6"/>
      <c r="N9" s="6"/>
      <c r="O9" s="7">
        <f t="shared" si="0"/>
        <v>523</v>
      </c>
      <c r="P9" s="23">
        <v>250</v>
      </c>
      <c r="Q9" s="54">
        <v>175</v>
      </c>
      <c r="R9" s="7">
        <v>1419</v>
      </c>
      <c r="S9" s="61">
        <f t="shared" si="1"/>
        <v>-1244</v>
      </c>
      <c r="T9" s="61"/>
      <c r="U9" s="6"/>
      <c r="V9" s="78">
        <v>250</v>
      </c>
      <c r="X9" s="78">
        <f>250+1184</f>
        <v>1434</v>
      </c>
    </row>
    <row r="10" spans="1:24" ht="20.100000000000001" customHeight="1" x14ac:dyDescent="0.3">
      <c r="A10" s="8" t="s">
        <v>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6"/>
      <c r="N10" s="6"/>
      <c r="O10" s="7">
        <f t="shared" si="0"/>
        <v>0</v>
      </c>
      <c r="P10" s="23">
        <v>1226</v>
      </c>
      <c r="Q10" s="54">
        <v>1000</v>
      </c>
      <c r="R10" s="7">
        <v>1312</v>
      </c>
      <c r="S10" s="61">
        <f t="shared" si="1"/>
        <v>-312</v>
      </c>
      <c r="T10" s="61"/>
      <c r="U10" s="6"/>
      <c r="V10" s="78">
        <v>1000</v>
      </c>
      <c r="X10" s="78">
        <f>1000+665</f>
        <v>1665</v>
      </c>
    </row>
    <row r="11" spans="1:24" ht="20.100000000000001" customHeight="1" x14ac:dyDescent="0.3">
      <c r="A11" s="8" t="s">
        <v>9</v>
      </c>
      <c r="B11" s="9"/>
      <c r="C11" s="9"/>
      <c r="D11" s="9"/>
      <c r="E11" s="9"/>
      <c r="F11" s="9">
        <v>82</v>
      </c>
      <c r="G11" s="9">
        <v>20</v>
      </c>
      <c r="H11" s="9">
        <v>19</v>
      </c>
      <c r="I11" s="9">
        <v>82</v>
      </c>
      <c r="J11" s="9"/>
      <c r="K11" s="9"/>
      <c r="L11" s="9"/>
      <c r="M11" s="6"/>
      <c r="N11" s="6"/>
      <c r="O11" s="7">
        <f t="shared" si="0"/>
        <v>203</v>
      </c>
      <c r="P11" s="23">
        <v>500</v>
      </c>
      <c r="Q11" s="54">
        <v>400</v>
      </c>
      <c r="R11" s="7">
        <v>510</v>
      </c>
      <c r="S11" s="61">
        <f t="shared" si="1"/>
        <v>-110</v>
      </c>
      <c r="T11" s="61"/>
      <c r="U11" s="6"/>
      <c r="V11" s="78">
        <v>500</v>
      </c>
      <c r="X11" s="78">
        <f>500+1165</f>
        <v>1665</v>
      </c>
    </row>
    <row r="12" spans="1:24" ht="20.100000000000001" customHeight="1" x14ac:dyDescent="0.3">
      <c r="A12" s="8" t="s">
        <v>10</v>
      </c>
      <c r="B12" s="9"/>
      <c r="C12" s="9"/>
      <c r="D12" s="9"/>
      <c r="E12" s="9"/>
      <c r="F12" s="9"/>
      <c r="G12" s="9"/>
      <c r="H12" s="9">
        <v>25750</v>
      </c>
      <c r="I12" s="9"/>
      <c r="J12" s="9"/>
      <c r="K12" s="9"/>
      <c r="L12" s="9"/>
      <c r="M12" s="6"/>
      <c r="N12" s="6"/>
      <c r="O12" s="7">
        <f t="shared" si="0"/>
        <v>25750</v>
      </c>
      <c r="P12" s="23">
        <v>27500</v>
      </c>
      <c r="Q12" s="54">
        <v>27200</v>
      </c>
      <c r="R12" s="7">
        <v>26150</v>
      </c>
      <c r="S12" s="61">
        <f t="shared" si="1"/>
        <v>1050</v>
      </c>
      <c r="T12" s="61"/>
      <c r="U12" s="6"/>
      <c r="V12" s="78">
        <v>26150</v>
      </c>
      <c r="X12" s="78">
        <f>26150+4460</f>
        <v>30610</v>
      </c>
    </row>
    <row r="13" spans="1:24" ht="20.100000000000001" customHeight="1" x14ac:dyDescent="0.3">
      <c r="A13" s="8" t="s">
        <v>12</v>
      </c>
      <c r="B13" s="9">
        <v>506</v>
      </c>
      <c r="C13" s="9"/>
      <c r="D13" s="9">
        <v>500</v>
      </c>
      <c r="E13" s="9"/>
      <c r="F13" s="9"/>
      <c r="G13" s="9">
        <v>510</v>
      </c>
      <c r="H13" s="9"/>
      <c r="I13" s="9"/>
      <c r="J13" s="9">
        <v>534</v>
      </c>
      <c r="K13" s="9"/>
      <c r="L13" s="9"/>
      <c r="M13" s="6"/>
      <c r="N13" s="6"/>
      <c r="O13" s="7">
        <f t="shared" si="0"/>
        <v>2050</v>
      </c>
      <c r="P13" s="23">
        <v>2000</v>
      </c>
      <c r="Q13" s="54">
        <v>2000</v>
      </c>
      <c r="R13" s="7">
        <v>2216</v>
      </c>
      <c r="S13" s="61">
        <f t="shared" si="1"/>
        <v>-216</v>
      </c>
      <c r="T13" s="61"/>
      <c r="U13" s="6"/>
      <c r="V13" s="78">
        <v>2000</v>
      </c>
      <c r="X13" s="78">
        <f>2000+977</f>
        <v>2977</v>
      </c>
    </row>
    <row r="14" spans="1:24" ht="20.100000000000001" customHeight="1" x14ac:dyDescent="0.3">
      <c r="A14" s="8" t="s">
        <v>14</v>
      </c>
      <c r="B14" s="9">
        <v>4586</v>
      </c>
      <c r="C14" s="9">
        <v>4320</v>
      </c>
      <c r="D14" s="9">
        <v>4293</v>
      </c>
      <c r="E14" s="9">
        <v>4424</v>
      </c>
      <c r="F14" s="9">
        <v>4429</v>
      </c>
      <c r="G14" s="9"/>
      <c r="H14" s="9">
        <v>4678</v>
      </c>
      <c r="I14" s="9">
        <v>4349</v>
      </c>
      <c r="J14" s="9">
        <v>5006</v>
      </c>
      <c r="K14" s="9">
        <v>4280</v>
      </c>
      <c r="L14" s="9">
        <v>4722</v>
      </c>
      <c r="M14" s="6"/>
      <c r="N14" s="6"/>
      <c r="O14" s="7">
        <f t="shared" si="0"/>
        <v>45087</v>
      </c>
      <c r="P14" s="23">
        <v>50000</v>
      </c>
      <c r="Q14" s="54">
        <v>54000</v>
      </c>
      <c r="R14" s="7">
        <v>66521</v>
      </c>
      <c r="S14" s="61">
        <f t="shared" si="1"/>
        <v>-12521</v>
      </c>
      <c r="T14" s="61"/>
      <c r="U14" s="6"/>
      <c r="V14" s="78">
        <v>62000</v>
      </c>
      <c r="X14" s="78">
        <f>62000+13038</f>
        <v>75038</v>
      </c>
    </row>
    <row r="15" spans="1:24" ht="20.100000000000001" customHeight="1" x14ac:dyDescent="0.3">
      <c r="A15" s="8" t="s">
        <v>16</v>
      </c>
      <c r="B15" s="9">
        <v>2742</v>
      </c>
      <c r="C15" s="9">
        <v>1840</v>
      </c>
      <c r="D15" s="9">
        <v>2107</v>
      </c>
      <c r="E15" s="9">
        <v>2513</v>
      </c>
      <c r="F15" s="9">
        <v>1618</v>
      </c>
      <c r="G15" s="9">
        <v>2168</v>
      </c>
      <c r="H15" s="9">
        <v>1736</v>
      </c>
      <c r="I15" s="9">
        <v>1708</v>
      </c>
      <c r="J15" s="9">
        <v>2763</v>
      </c>
      <c r="K15" s="9">
        <v>2321</v>
      </c>
      <c r="L15" s="9">
        <v>2849</v>
      </c>
      <c r="M15" s="6"/>
      <c r="N15" s="6"/>
      <c r="O15" s="7">
        <f t="shared" si="0"/>
        <v>24365</v>
      </c>
      <c r="P15" s="23">
        <v>21000</v>
      </c>
      <c r="Q15" s="54">
        <v>25000</v>
      </c>
      <c r="R15" s="7">
        <v>24500</v>
      </c>
      <c r="S15" s="61">
        <f t="shared" si="1"/>
        <v>500</v>
      </c>
      <c r="T15" s="61"/>
      <c r="U15" s="6"/>
      <c r="V15" s="78">
        <v>25000</v>
      </c>
      <c r="X15" s="78">
        <f>25000+1225</f>
        <v>26225</v>
      </c>
    </row>
    <row r="16" spans="1:24" ht="20.100000000000001" customHeight="1" x14ac:dyDescent="0.3">
      <c r="A16" s="8" t="s">
        <v>17</v>
      </c>
      <c r="B16" s="9"/>
      <c r="C16" s="9"/>
      <c r="D16" s="9">
        <v>40199</v>
      </c>
      <c r="E16" s="9"/>
      <c r="F16" s="9"/>
      <c r="G16" s="9"/>
      <c r="H16" s="9"/>
      <c r="I16" s="9"/>
      <c r="J16" s="9"/>
      <c r="K16" s="9"/>
      <c r="L16" s="9"/>
      <c r="M16" s="6"/>
      <c r="N16" s="6"/>
      <c r="O16" s="7">
        <f t="shared" si="0"/>
        <v>40199</v>
      </c>
      <c r="P16" s="23">
        <v>40000</v>
      </c>
      <c r="Q16" s="54">
        <v>40000</v>
      </c>
      <c r="R16" s="7">
        <v>42565</v>
      </c>
      <c r="S16" s="61">
        <f t="shared" si="1"/>
        <v>-2565</v>
      </c>
      <c r="T16" s="61"/>
      <c r="U16" s="6"/>
      <c r="V16" s="78">
        <v>40000</v>
      </c>
      <c r="X16" s="78">
        <f>40000+12214</f>
        <v>52214</v>
      </c>
    </row>
    <row r="17" spans="1:24" ht="20.100000000000001" customHeight="1" x14ac:dyDescent="0.3">
      <c r="A17" s="8" t="s">
        <v>18</v>
      </c>
      <c r="B17" s="9">
        <v>59</v>
      </c>
      <c r="C17" s="9">
        <v>93</v>
      </c>
      <c r="D17" s="9">
        <v>27</v>
      </c>
      <c r="E17" s="9">
        <v>48</v>
      </c>
      <c r="F17" s="9">
        <v>44</v>
      </c>
      <c r="G17" s="9">
        <v>53</v>
      </c>
      <c r="H17" s="9"/>
      <c r="I17" s="9">
        <v>42</v>
      </c>
      <c r="J17" s="9">
        <v>27</v>
      </c>
      <c r="K17" s="9">
        <v>106</v>
      </c>
      <c r="L17" s="9"/>
      <c r="M17" s="6"/>
      <c r="N17" s="6"/>
      <c r="O17" s="7">
        <f t="shared" si="0"/>
        <v>499</v>
      </c>
      <c r="P17" s="23">
        <v>500</v>
      </c>
      <c r="Q17" s="54">
        <v>500</v>
      </c>
      <c r="R17" s="7">
        <v>390</v>
      </c>
      <c r="S17" s="61">
        <f t="shared" si="1"/>
        <v>110</v>
      </c>
      <c r="T17" s="61"/>
      <c r="U17" s="6"/>
      <c r="V17" s="78">
        <v>500</v>
      </c>
      <c r="X17" s="78">
        <f>500+2399</f>
        <v>2899</v>
      </c>
    </row>
    <row r="18" spans="1:24" ht="20.100000000000001" customHeight="1" x14ac:dyDescent="0.3">
      <c r="A18" s="8" t="s">
        <v>19</v>
      </c>
      <c r="B18" s="9">
        <v>5</v>
      </c>
      <c r="C18" s="9">
        <v>20</v>
      </c>
      <c r="D18" s="9">
        <v>5</v>
      </c>
      <c r="E18" s="9"/>
      <c r="F18" s="9"/>
      <c r="G18" s="9">
        <v>20</v>
      </c>
      <c r="H18" s="9"/>
      <c r="I18" s="9">
        <v>15</v>
      </c>
      <c r="J18" s="9"/>
      <c r="K18" s="9">
        <v>20</v>
      </c>
      <c r="L18" s="9"/>
      <c r="M18" s="6"/>
      <c r="N18" s="6"/>
      <c r="O18" s="7">
        <f t="shared" si="0"/>
        <v>85</v>
      </c>
      <c r="P18" s="23">
        <v>100</v>
      </c>
      <c r="Q18" s="54">
        <v>100</v>
      </c>
      <c r="R18" s="7">
        <v>95</v>
      </c>
      <c r="S18" s="61">
        <f t="shared" si="1"/>
        <v>5</v>
      </c>
      <c r="T18" s="61"/>
      <c r="U18" s="6"/>
      <c r="V18" s="78">
        <v>100</v>
      </c>
      <c r="X18" s="78">
        <f>100+290</f>
        <v>390</v>
      </c>
    </row>
    <row r="19" spans="1:24" ht="20.100000000000001" customHeight="1" x14ac:dyDescent="0.3">
      <c r="A19" s="8" t="s">
        <v>125</v>
      </c>
      <c r="B19" s="9"/>
      <c r="C19" s="9"/>
      <c r="D19" s="9"/>
      <c r="E19" s="9">
        <v>1300</v>
      </c>
      <c r="F19" s="9"/>
      <c r="G19" s="9">
        <v>650</v>
      </c>
      <c r="H19" s="9"/>
      <c r="I19" s="9"/>
      <c r="J19" s="9"/>
      <c r="K19" s="9"/>
      <c r="L19" s="9"/>
      <c r="M19" s="6"/>
      <c r="N19" s="6"/>
      <c r="O19" s="7">
        <f t="shared" si="0"/>
        <v>1950</v>
      </c>
      <c r="P19" s="23">
        <v>1950</v>
      </c>
      <c r="Q19" s="54">
        <v>1950</v>
      </c>
      <c r="R19" s="7">
        <v>1300</v>
      </c>
      <c r="S19" s="61">
        <f t="shared" si="1"/>
        <v>650</v>
      </c>
      <c r="T19" s="61"/>
      <c r="U19" s="6"/>
      <c r="V19" s="78">
        <v>1950</v>
      </c>
      <c r="X19" s="78">
        <v>1950</v>
      </c>
    </row>
    <row r="20" spans="1:24" ht="20.100000000000001" customHeight="1" x14ac:dyDescent="0.3">
      <c r="A20" s="8" t="s">
        <v>20</v>
      </c>
      <c r="B20" s="9">
        <v>140</v>
      </c>
      <c r="C20" s="9"/>
      <c r="D20" s="9">
        <v>155</v>
      </c>
      <c r="E20" s="9">
        <v>541</v>
      </c>
      <c r="F20" s="9">
        <v>1065</v>
      </c>
      <c r="G20" s="9">
        <v>390</v>
      </c>
      <c r="H20" s="9">
        <v>110</v>
      </c>
      <c r="I20" s="9">
        <v>235</v>
      </c>
      <c r="J20" s="9">
        <v>15</v>
      </c>
      <c r="K20" s="9"/>
      <c r="L20" s="9"/>
      <c r="M20" s="6"/>
      <c r="N20" s="6"/>
      <c r="O20" s="7">
        <f t="shared" si="0"/>
        <v>2651</v>
      </c>
      <c r="P20" s="23">
        <v>2000</v>
      </c>
      <c r="Q20" s="54">
        <v>2350</v>
      </c>
      <c r="R20" s="7">
        <v>4096</v>
      </c>
      <c r="S20" s="61">
        <f t="shared" si="1"/>
        <v>-1746</v>
      </c>
      <c r="T20" s="61"/>
      <c r="U20" s="6"/>
      <c r="V20" s="78">
        <v>2500</v>
      </c>
      <c r="X20" s="78">
        <v>2500</v>
      </c>
    </row>
    <row r="21" spans="1:24" ht="20.100000000000001" customHeight="1" x14ac:dyDescent="0.3">
      <c r="A21" s="8" t="s">
        <v>21</v>
      </c>
      <c r="B21" s="9"/>
      <c r="C21" s="9"/>
      <c r="D21" s="9"/>
      <c r="E21" s="9"/>
      <c r="F21" s="9">
        <v>680</v>
      </c>
      <c r="G21" s="9">
        <v>1028</v>
      </c>
      <c r="H21" s="9"/>
      <c r="I21" s="9">
        <v>90</v>
      </c>
      <c r="J21" s="9"/>
      <c r="K21" s="9"/>
      <c r="L21" s="9">
        <v>15</v>
      </c>
      <c r="M21" s="6"/>
      <c r="N21" s="6"/>
      <c r="O21" s="7">
        <f t="shared" si="0"/>
        <v>1813</v>
      </c>
      <c r="P21" s="23">
        <v>2500</v>
      </c>
      <c r="Q21" s="54">
        <v>2500</v>
      </c>
      <c r="R21" s="7">
        <v>2265</v>
      </c>
      <c r="S21" s="61">
        <f t="shared" si="1"/>
        <v>235</v>
      </c>
      <c r="T21" s="61"/>
      <c r="U21" s="6"/>
      <c r="V21" s="78">
        <v>2900</v>
      </c>
      <c r="X21" s="78">
        <v>2900</v>
      </c>
    </row>
    <row r="22" spans="1:24" ht="20.100000000000001" customHeight="1" x14ac:dyDescent="0.3">
      <c r="A22" s="8" t="s">
        <v>156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6"/>
      <c r="N22" s="6"/>
      <c r="O22" s="7"/>
      <c r="P22" s="23"/>
      <c r="Q22" s="54"/>
      <c r="R22" s="7"/>
      <c r="S22" s="61"/>
      <c r="T22" s="61"/>
      <c r="U22" s="6"/>
      <c r="V22" s="78"/>
      <c r="X22" s="78">
        <v>211</v>
      </c>
    </row>
    <row r="23" spans="1:24" ht="20.100000000000001" customHeight="1" x14ac:dyDescent="0.3">
      <c r="A23" s="8" t="s">
        <v>157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6"/>
      <c r="N23" s="6"/>
      <c r="O23" s="7"/>
      <c r="P23" s="23"/>
      <c r="Q23" s="54"/>
      <c r="R23" s="7"/>
      <c r="S23" s="61"/>
      <c r="T23" s="61"/>
      <c r="U23" s="6"/>
      <c r="V23" s="78"/>
      <c r="X23" s="78">
        <v>7130</v>
      </c>
    </row>
    <row r="24" spans="1:24" ht="20.100000000000001" customHeight="1" x14ac:dyDescent="0.3">
      <c r="A24" s="8" t="s">
        <v>23</v>
      </c>
      <c r="B24" s="9"/>
      <c r="C24" s="9"/>
      <c r="D24" s="9"/>
      <c r="E24" s="9"/>
      <c r="F24" s="9"/>
      <c r="G24" s="9"/>
      <c r="H24" s="9">
        <v>645</v>
      </c>
      <c r="I24" s="9">
        <v>5000</v>
      </c>
      <c r="J24" s="9"/>
      <c r="K24" s="9"/>
      <c r="L24" s="9"/>
      <c r="M24" s="6"/>
      <c r="N24" s="6"/>
      <c r="O24" s="7">
        <f t="shared" si="0"/>
        <v>5645</v>
      </c>
      <c r="P24" s="23">
        <v>5000</v>
      </c>
      <c r="Q24" s="54">
        <v>5000</v>
      </c>
      <c r="R24" s="7">
        <v>5000</v>
      </c>
      <c r="S24" s="61">
        <f t="shared" si="1"/>
        <v>0</v>
      </c>
      <c r="T24" s="61"/>
      <c r="U24" s="6"/>
      <c r="V24" s="78">
        <v>5000</v>
      </c>
      <c r="X24" s="78">
        <f>5000+1000</f>
        <v>6000</v>
      </c>
    </row>
    <row r="25" spans="1:24" ht="20.100000000000001" customHeight="1" x14ac:dyDescent="0.3">
      <c r="A25" s="8" t="s">
        <v>24</v>
      </c>
      <c r="B25" s="9">
        <v>640</v>
      </c>
      <c r="C25" s="9">
        <v>650</v>
      </c>
      <c r="D25" s="9">
        <v>450</v>
      </c>
      <c r="E25" s="9">
        <v>300</v>
      </c>
      <c r="F25" s="9">
        <v>825</v>
      </c>
      <c r="G25" s="9">
        <v>450</v>
      </c>
      <c r="H25" s="9">
        <v>375</v>
      </c>
      <c r="I25" s="9">
        <v>335</v>
      </c>
      <c r="J25" s="9">
        <v>75</v>
      </c>
      <c r="K25" s="9">
        <v>150</v>
      </c>
      <c r="L25" s="9">
        <v>750</v>
      </c>
      <c r="M25" s="6"/>
      <c r="N25" s="6"/>
      <c r="O25" s="7">
        <f t="shared" si="0"/>
        <v>5000</v>
      </c>
      <c r="P25" s="23">
        <v>3600</v>
      </c>
      <c r="Q25" s="54">
        <v>4300</v>
      </c>
      <c r="R25" s="7">
        <v>4545</v>
      </c>
      <c r="S25" s="61">
        <f t="shared" si="1"/>
        <v>-245</v>
      </c>
      <c r="T25" s="61"/>
      <c r="U25" s="6"/>
      <c r="V25" s="78">
        <v>4300</v>
      </c>
      <c r="X25" s="78">
        <v>4300</v>
      </c>
    </row>
    <row r="26" spans="1:24" ht="20.100000000000001" customHeight="1" x14ac:dyDescent="0.3">
      <c r="A26" s="8" t="s">
        <v>158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6"/>
      <c r="N26" s="6"/>
      <c r="O26" s="7"/>
      <c r="P26" s="23"/>
      <c r="Q26" s="54"/>
      <c r="R26" s="7"/>
      <c r="S26" s="61"/>
      <c r="T26" s="61"/>
      <c r="U26" s="6"/>
      <c r="V26" s="78"/>
      <c r="X26" s="78">
        <v>162</v>
      </c>
    </row>
    <row r="27" spans="1:24" ht="20.100000000000001" customHeight="1" x14ac:dyDescent="0.3">
      <c r="A27" s="8" t="s">
        <v>159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6"/>
      <c r="N27" s="6"/>
      <c r="O27" s="7"/>
      <c r="P27" s="23"/>
      <c r="Q27" s="54"/>
      <c r="R27" s="7"/>
      <c r="S27" s="61"/>
      <c r="T27" s="61"/>
      <c r="U27" s="6"/>
      <c r="V27" s="78"/>
      <c r="X27" s="78">
        <v>900</v>
      </c>
    </row>
    <row r="28" spans="1:24" ht="20.100000000000001" customHeight="1" x14ac:dyDescent="0.3">
      <c r="A28" s="8" t="s">
        <v>25</v>
      </c>
      <c r="B28" s="9">
        <v>4376</v>
      </c>
      <c r="C28" s="9">
        <v>4349</v>
      </c>
      <c r="D28" s="9">
        <v>4363</v>
      </c>
      <c r="E28" s="9">
        <v>4349</v>
      </c>
      <c r="F28" s="9">
        <v>4336</v>
      </c>
      <c r="G28" s="9">
        <v>4356</v>
      </c>
      <c r="H28" s="9">
        <v>4342</v>
      </c>
      <c r="I28" s="9">
        <v>4384</v>
      </c>
      <c r="J28" s="9">
        <v>4370</v>
      </c>
      <c r="K28" s="9">
        <v>4433</v>
      </c>
      <c r="L28" s="9">
        <v>4537</v>
      </c>
      <c r="M28" s="9">
        <v>4599</v>
      </c>
      <c r="N28" s="6"/>
      <c r="O28" s="7">
        <f t="shared" si="0"/>
        <v>52794</v>
      </c>
      <c r="P28" s="23">
        <v>53000</v>
      </c>
      <c r="Q28" s="54">
        <v>53000</v>
      </c>
      <c r="R28" s="7">
        <v>50003</v>
      </c>
      <c r="S28" s="61">
        <f t="shared" si="1"/>
        <v>2997</v>
      </c>
      <c r="T28" s="61"/>
      <c r="U28" s="6"/>
      <c r="V28" s="78">
        <v>55130</v>
      </c>
      <c r="X28" s="78">
        <v>61560</v>
      </c>
    </row>
    <row r="29" spans="1:24" ht="20.100000000000001" customHeight="1" x14ac:dyDescent="0.3">
      <c r="A29" s="8" t="s">
        <v>26</v>
      </c>
      <c r="B29" s="9">
        <v>2413</v>
      </c>
      <c r="C29" s="9">
        <v>2388</v>
      </c>
      <c r="D29" s="9">
        <v>2400</v>
      </c>
      <c r="E29" s="9">
        <v>2388</v>
      </c>
      <c r="F29" s="9">
        <v>2376</v>
      </c>
      <c r="G29" s="9">
        <v>2388</v>
      </c>
      <c r="H29" s="9">
        <v>2364</v>
      </c>
      <c r="I29" s="9">
        <v>2412</v>
      </c>
      <c r="J29" s="9">
        <v>2388</v>
      </c>
      <c r="K29" s="9">
        <v>2448</v>
      </c>
      <c r="L29" s="9">
        <v>2532</v>
      </c>
      <c r="M29" s="9">
        <v>2618</v>
      </c>
      <c r="N29" s="6"/>
      <c r="O29" s="7">
        <f t="shared" si="0"/>
        <v>29115</v>
      </c>
      <c r="P29" s="23">
        <v>27500</v>
      </c>
      <c r="Q29" s="54">
        <v>28000</v>
      </c>
      <c r="R29" s="7">
        <v>28198</v>
      </c>
      <c r="S29" s="61">
        <f t="shared" si="1"/>
        <v>-198</v>
      </c>
      <c r="T29" s="61"/>
      <c r="U29" s="6"/>
      <c r="V29" s="78">
        <v>31000</v>
      </c>
      <c r="X29" s="78">
        <v>31000</v>
      </c>
    </row>
    <row r="30" spans="1:24" ht="20.100000000000001" customHeight="1" x14ac:dyDescent="0.3">
      <c r="A30" s="8" t="s">
        <v>28</v>
      </c>
      <c r="B30" s="9">
        <v>7606</v>
      </c>
      <c r="C30" s="9">
        <v>5615</v>
      </c>
      <c r="D30" s="9">
        <v>3977</v>
      </c>
      <c r="E30" s="9">
        <v>4514</v>
      </c>
      <c r="F30" s="9">
        <v>3998</v>
      </c>
      <c r="G30" s="9">
        <v>4487</v>
      </c>
      <c r="H30" s="9">
        <v>5404</v>
      </c>
      <c r="I30" s="9">
        <v>3862</v>
      </c>
      <c r="J30" s="9">
        <v>1652</v>
      </c>
      <c r="K30" s="9">
        <v>3145</v>
      </c>
      <c r="L30" s="9">
        <v>6615</v>
      </c>
      <c r="M30" s="6"/>
      <c r="N30" s="6"/>
      <c r="O30" s="7">
        <f t="shared" si="0"/>
        <v>50875</v>
      </c>
      <c r="P30" s="23">
        <v>75000</v>
      </c>
      <c r="Q30" s="54">
        <v>75000</v>
      </c>
      <c r="R30" s="7">
        <v>47060</v>
      </c>
      <c r="S30" s="61">
        <f t="shared" si="1"/>
        <v>27940</v>
      </c>
      <c r="T30" s="61"/>
      <c r="U30" s="6"/>
      <c r="V30" s="78">
        <v>100000</v>
      </c>
      <c r="X30" s="78">
        <v>100000</v>
      </c>
    </row>
    <row r="31" spans="1:24" ht="20.100000000000001" customHeight="1" x14ac:dyDescent="0.3">
      <c r="A31" s="8" t="s">
        <v>29</v>
      </c>
      <c r="B31" s="9">
        <v>12</v>
      </c>
      <c r="C31" s="9">
        <v>12</v>
      </c>
      <c r="D31" s="9">
        <v>12</v>
      </c>
      <c r="E31" s="9">
        <v>12</v>
      </c>
      <c r="F31" s="9">
        <v>13</v>
      </c>
      <c r="G31" s="9">
        <v>12</v>
      </c>
      <c r="H31" s="9">
        <v>11</v>
      </c>
      <c r="I31" s="9">
        <v>13</v>
      </c>
      <c r="J31" s="9">
        <v>12</v>
      </c>
      <c r="K31" s="9">
        <v>12</v>
      </c>
      <c r="L31" s="9">
        <v>13</v>
      </c>
      <c r="M31" s="6"/>
      <c r="N31" s="6"/>
      <c r="O31" s="7">
        <f t="shared" si="0"/>
        <v>134</v>
      </c>
      <c r="P31" s="23">
        <v>150</v>
      </c>
      <c r="Q31" s="54">
        <v>150</v>
      </c>
      <c r="R31" s="7">
        <v>113</v>
      </c>
      <c r="S31" s="61">
        <f t="shared" si="1"/>
        <v>37</v>
      </c>
      <c r="T31" s="61"/>
      <c r="U31" s="6"/>
      <c r="V31" s="78">
        <v>2500</v>
      </c>
      <c r="X31" s="78">
        <v>2500</v>
      </c>
    </row>
    <row r="32" spans="1:24" ht="20.100000000000001" customHeight="1" x14ac:dyDescent="0.3">
      <c r="A32" s="8" t="s">
        <v>31</v>
      </c>
      <c r="B32" s="9">
        <v>26</v>
      </c>
      <c r="C32" s="9">
        <v>16</v>
      </c>
      <c r="D32" s="9">
        <v>21</v>
      </c>
      <c r="E32" s="9">
        <v>5</v>
      </c>
      <c r="F32" s="9"/>
      <c r="G32" s="9">
        <v>4967</v>
      </c>
      <c r="H32" s="9">
        <v>8</v>
      </c>
      <c r="I32" s="9">
        <v>3</v>
      </c>
      <c r="J32" s="9">
        <v>903</v>
      </c>
      <c r="K32" s="9">
        <v>6</v>
      </c>
      <c r="L32" s="9">
        <v>764</v>
      </c>
      <c r="M32" s="6"/>
      <c r="N32" s="6"/>
      <c r="O32" s="7">
        <f t="shared" si="0"/>
        <v>6719</v>
      </c>
      <c r="P32" s="23">
        <v>600</v>
      </c>
      <c r="Q32" s="54">
        <v>600</v>
      </c>
      <c r="R32" s="7">
        <v>2919</v>
      </c>
      <c r="S32" s="61">
        <f t="shared" si="1"/>
        <v>-2319</v>
      </c>
      <c r="T32" s="61"/>
      <c r="U32" s="6"/>
      <c r="V32" s="78">
        <v>600</v>
      </c>
      <c r="X32" s="78">
        <f>600+107</f>
        <v>707</v>
      </c>
    </row>
    <row r="33" spans="1:27" s="31" customFormat="1" ht="20.100000000000001" customHeight="1" x14ac:dyDescent="0.3">
      <c r="A33" s="26" t="s">
        <v>32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8"/>
      <c r="N33" s="28"/>
      <c r="O33" s="29">
        <f t="shared" si="0"/>
        <v>0</v>
      </c>
      <c r="P33" s="30">
        <v>12483</v>
      </c>
      <c r="Q33" s="56">
        <v>66103</v>
      </c>
      <c r="R33" s="29">
        <v>141014</v>
      </c>
      <c r="S33" s="62">
        <f>Q33-R33</f>
        <v>-74911</v>
      </c>
      <c r="T33" s="62"/>
      <c r="U33" s="63"/>
      <c r="V33" s="79">
        <f>119018+53825</f>
        <v>172843</v>
      </c>
      <c r="X33" s="79">
        <f>198613+43194</f>
        <v>241807</v>
      </c>
    </row>
    <row r="34" spans="1:27" ht="20.100000000000001" customHeight="1" x14ac:dyDescent="0.3">
      <c r="A34" s="10" t="s">
        <v>113</v>
      </c>
      <c r="B34" s="11"/>
      <c r="C34" s="11"/>
      <c r="D34" s="11"/>
      <c r="E34" s="11"/>
      <c r="F34" s="11">
        <v>7365</v>
      </c>
      <c r="G34" s="11"/>
      <c r="H34" s="11"/>
      <c r="I34" s="11"/>
      <c r="J34" s="11"/>
      <c r="K34" s="11"/>
      <c r="L34" s="11"/>
      <c r="M34" s="6"/>
      <c r="N34" s="6"/>
      <c r="O34" s="7">
        <f t="shared" si="0"/>
        <v>7365</v>
      </c>
      <c r="P34" s="23">
        <v>7365</v>
      </c>
      <c r="Q34" s="54">
        <v>7365</v>
      </c>
      <c r="R34" s="7">
        <v>7365</v>
      </c>
      <c r="S34" s="61">
        <f>Q34-R34</f>
        <v>0</v>
      </c>
      <c r="T34" s="61"/>
      <c r="U34" s="6"/>
      <c r="V34" s="78">
        <v>7365</v>
      </c>
      <c r="X34" s="78">
        <v>7365</v>
      </c>
      <c r="Y34" s="5"/>
    </row>
    <row r="35" spans="1:27" ht="20.100000000000001" customHeight="1" x14ac:dyDescent="0.3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6"/>
      <c r="N35" s="6"/>
      <c r="O35" s="6"/>
      <c r="P35" s="23"/>
      <c r="Q35" s="54"/>
      <c r="R35" s="7"/>
      <c r="S35" s="61"/>
      <c r="T35" s="61"/>
      <c r="U35" s="6"/>
      <c r="V35" s="78"/>
      <c r="X35" s="78"/>
    </row>
    <row r="36" spans="1:27" s="38" customFormat="1" ht="20.100000000000001" customHeight="1" x14ac:dyDescent="0.25">
      <c r="A36" s="34" t="s">
        <v>33</v>
      </c>
      <c r="B36" s="35">
        <f t="shared" ref="B36:R36" si="3">SUM(B4:B34)</f>
        <v>27668.7</v>
      </c>
      <c r="C36" s="35">
        <f t="shared" si="3"/>
        <v>20736</v>
      </c>
      <c r="D36" s="35">
        <f t="shared" si="3"/>
        <v>69374</v>
      </c>
      <c r="E36" s="35">
        <f t="shared" si="3"/>
        <v>53209</v>
      </c>
      <c r="F36" s="35">
        <f t="shared" si="3"/>
        <v>93240</v>
      </c>
      <c r="G36" s="35">
        <f t="shared" si="3"/>
        <v>24024</v>
      </c>
      <c r="H36" s="35">
        <f t="shared" si="3"/>
        <v>49135</v>
      </c>
      <c r="I36" s="35">
        <f t="shared" si="3"/>
        <v>27775</v>
      </c>
      <c r="J36" s="35">
        <f t="shared" si="3"/>
        <v>20140</v>
      </c>
      <c r="K36" s="35">
        <f t="shared" si="3"/>
        <v>19024</v>
      </c>
      <c r="L36" s="35">
        <f t="shared" si="3"/>
        <v>23656</v>
      </c>
      <c r="M36" s="35">
        <f t="shared" si="3"/>
        <v>7217</v>
      </c>
      <c r="N36" s="35">
        <f t="shared" si="3"/>
        <v>0</v>
      </c>
      <c r="O36" s="36">
        <f t="shared" si="3"/>
        <v>435198.7</v>
      </c>
      <c r="P36" s="37">
        <f t="shared" si="3"/>
        <v>473460</v>
      </c>
      <c r="Q36" s="39">
        <f t="shared" si="3"/>
        <v>525500</v>
      </c>
      <c r="R36" s="58">
        <f t="shared" si="3"/>
        <v>599521</v>
      </c>
      <c r="S36" s="64">
        <f>SUM(S4:S35)</f>
        <v>-74021</v>
      </c>
      <c r="T36" s="64"/>
      <c r="U36" s="65"/>
      <c r="V36" s="80">
        <f>SUM(V4:V34)</f>
        <v>687426</v>
      </c>
      <c r="X36" s="80">
        <f>SUM(X4:X34)</f>
        <v>812901</v>
      </c>
    </row>
    <row r="37" spans="1:27" ht="20.100000000000001" customHeight="1" x14ac:dyDescent="0.3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6"/>
      <c r="N37" s="6"/>
      <c r="O37" s="6"/>
      <c r="P37" s="7"/>
      <c r="Q37" s="7"/>
      <c r="R37" s="7"/>
      <c r="S37" s="7"/>
      <c r="T37" s="7"/>
      <c r="U37" s="6"/>
      <c r="V37" s="7"/>
      <c r="X37" s="7"/>
    </row>
    <row r="38" spans="1:27" ht="20.100000000000001" customHeight="1" x14ac:dyDescent="0.3">
      <c r="A38" s="8" t="s">
        <v>34</v>
      </c>
      <c r="B38" s="9">
        <f>B59</f>
        <v>0</v>
      </c>
      <c r="C38" s="9">
        <f t="shared" ref="C38:N38" si="4">C59</f>
        <v>0</v>
      </c>
      <c r="D38" s="9">
        <f t="shared" si="4"/>
        <v>0</v>
      </c>
      <c r="E38" s="9">
        <f t="shared" si="4"/>
        <v>0</v>
      </c>
      <c r="F38" s="9">
        <f t="shared" si="4"/>
        <v>0</v>
      </c>
      <c r="G38" s="9">
        <f t="shared" si="4"/>
        <v>0</v>
      </c>
      <c r="H38" s="9">
        <f t="shared" si="4"/>
        <v>1245</v>
      </c>
      <c r="I38" s="9">
        <f t="shared" si="4"/>
        <v>45</v>
      </c>
      <c r="J38" s="9">
        <f t="shared" si="4"/>
        <v>0</v>
      </c>
      <c r="K38" s="9">
        <f t="shared" si="4"/>
        <v>0</v>
      </c>
      <c r="L38" s="9">
        <f t="shared" si="4"/>
        <v>0</v>
      </c>
      <c r="M38" s="9">
        <f t="shared" si="4"/>
        <v>0</v>
      </c>
      <c r="N38" s="9">
        <f t="shared" si="4"/>
        <v>0</v>
      </c>
      <c r="O38" s="7">
        <f t="shared" ref="O38:O44" si="5">SUM(B38:N38)</f>
        <v>1290</v>
      </c>
      <c r="P38" s="23">
        <f>P59</f>
        <v>8751</v>
      </c>
      <c r="Q38" s="54">
        <f>Q59</f>
        <v>8001</v>
      </c>
      <c r="R38" s="7">
        <f>R59</f>
        <v>8001</v>
      </c>
      <c r="S38" s="61">
        <f>Q38-R38</f>
        <v>0</v>
      </c>
      <c r="T38" s="7">
        <f>T59</f>
        <v>8001</v>
      </c>
      <c r="U38" s="6"/>
      <c r="V38" s="78">
        <f>V59</f>
        <v>62826</v>
      </c>
      <c r="X38" s="78">
        <f>X59</f>
        <v>62826</v>
      </c>
    </row>
    <row r="39" spans="1:27" ht="20.100000000000001" customHeight="1" x14ac:dyDescent="0.3">
      <c r="A39" s="8" t="s">
        <v>35</v>
      </c>
      <c r="B39" s="9">
        <f>B64</f>
        <v>0</v>
      </c>
      <c r="C39" s="9">
        <f t="shared" ref="C39:N39" si="6">C64</f>
        <v>0</v>
      </c>
      <c r="D39" s="9">
        <f t="shared" si="6"/>
        <v>0</v>
      </c>
      <c r="E39" s="9">
        <f t="shared" si="6"/>
        <v>0</v>
      </c>
      <c r="F39" s="9">
        <f t="shared" si="6"/>
        <v>0</v>
      </c>
      <c r="G39" s="9">
        <f t="shared" si="6"/>
        <v>0</v>
      </c>
      <c r="H39" s="9">
        <f t="shared" si="6"/>
        <v>0</v>
      </c>
      <c r="I39" s="9">
        <f t="shared" si="6"/>
        <v>0</v>
      </c>
      <c r="J39" s="9">
        <f t="shared" si="6"/>
        <v>0</v>
      </c>
      <c r="K39" s="9">
        <f t="shared" si="6"/>
        <v>0</v>
      </c>
      <c r="L39" s="9">
        <f t="shared" si="6"/>
        <v>0</v>
      </c>
      <c r="M39" s="9">
        <f t="shared" si="6"/>
        <v>0</v>
      </c>
      <c r="N39" s="9">
        <f t="shared" si="6"/>
        <v>0</v>
      </c>
      <c r="O39" s="7">
        <f t="shared" si="5"/>
        <v>0</v>
      </c>
      <c r="P39" s="23">
        <f>P64</f>
        <v>1200</v>
      </c>
      <c r="Q39" s="54">
        <f>Q64</f>
        <v>600</v>
      </c>
      <c r="R39" s="7">
        <f>R64</f>
        <v>600</v>
      </c>
      <c r="S39" s="61">
        <f t="shared" ref="S39:S44" si="7">Q39-R39</f>
        <v>0</v>
      </c>
      <c r="T39" s="7">
        <f>T64</f>
        <v>600</v>
      </c>
      <c r="U39" s="6"/>
      <c r="V39" s="78">
        <f>V64</f>
        <v>50</v>
      </c>
      <c r="X39" s="78">
        <f>X64</f>
        <v>50</v>
      </c>
    </row>
    <row r="40" spans="1:27" ht="20.100000000000001" customHeight="1" x14ac:dyDescent="0.3">
      <c r="A40" s="8" t="s">
        <v>36</v>
      </c>
      <c r="B40" s="9">
        <f>B95</f>
        <v>12202</v>
      </c>
      <c r="C40" s="9">
        <f t="shared" ref="C40:N40" si="8">C95</f>
        <v>7929</v>
      </c>
      <c r="D40" s="9">
        <f t="shared" si="8"/>
        <v>8130</v>
      </c>
      <c r="E40" s="9">
        <f t="shared" si="8"/>
        <v>7559</v>
      </c>
      <c r="F40" s="9">
        <f t="shared" si="8"/>
        <v>7516</v>
      </c>
      <c r="G40" s="9">
        <f t="shared" si="8"/>
        <v>14879</v>
      </c>
      <c r="H40" s="9">
        <f t="shared" si="8"/>
        <v>11343</v>
      </c>
      <c r="I40" s="9">
        <f t="shared" si="8"/>
        <v>15653</v>
      </c>
      <c r="J40" s="9">
        <f t="shared" si="8"/>
        <v>25140</v>
      </c>
      <c r="K40" s="9">
        <f t="shared" si="8"/>
        <v>9017</v>
      </c>
      <c r="L40" s="9">
        <f t="shared" si="8"/>
        <v>15862</v>
      </c>
      <c r="M40" s="9">
        <f t="shared" si="8"/>
        <v>15092</v>
      </c>
      <c r="N40" s="9">
        <f t="shared" si="8"/>
        <v>0</v>
      </c>
      <c r="O40" s="7">
        <f t="shared" si="5"/>
        <v>150322</v>
      </c>
      <c r="P40" s="23">
        <f>P95</f>
        <v>140391</v>
      </c>
      <c r="Q40" s="54">
        <f>Q95</f>
        <v>167221</v>
      </c>
      <c r="R40" s="7">
        <f>R95</f>
        <v>215113</v>
      </c>
      <c r="S40" s="61">
        <f t="shared" si="7"/>
        <v>-47892</v>
      </c>
      <c r="T40" s="7">
        <f>T95</f>
        <v>212309</v>
      </c>
      <c r="U40" s="6"/>
      <c r="V40" s="78">
        <f>V95</f>
        <v>202423</v>
      </c>
      <c r="X40" s="78">
        <f>X95</f>
        <v>318148</v>
      </c>
    </row>
    <row r="41" spans="1:27" ht="20.100000000000001" customHeight="1" x14ac:dyDescent="0.3">
      <c r="A41" s="8" t="s">
        <v>37</v>
      </c>
      <c r="B41" s="9">
        <f>B119</f>
        <v>14394</v>
      </c>
      <c r="C41" s="9">
        <f t="shared" ref="C41:N41" si="9">C119</f>
        <v>13343</v>
      </c>
      <c r="D41" s="9">
        <f t="shared" si="9"/>
        <v>17246</v>
      </c>
      <c r="E41" s="9">
        <f t="shared" si="9"/>
        <v>15603</v>
      </c>
      <c r="F41" s="9">
        <f t="shared" si="9"/>
        <v>19143</v>
      </c>
      <c r="G41" s="9">
        <f t="shared" si="9"/>
        <v>15174</v>
      </c>
      <c r="H41" s="9">
        <f t="shared" si="9"/>
        <v>9449</v>
      </c>
      <c r="I41" s="9">
        <f t="shared" si="9"/>
        <v>12789</v>
      </c>
      <c r="J41" s="9">
        <f t="shared" si="9"/>
        <v>20952</v>
      </c>
      <c r="K41" s="9">
        <f t="shared" si="9"/>
        <v>12452</v>
      </c>
      <c r="L41" s="9">
        <f t="shared" si="9"/>
        <v>12111</v>
      </c>
      <c r="M41" s="9">
        <f t="shared" si="9"/>
        <v>16277</v>
      </c>
      <c r="N41" s="9">
        <f t="shared" si="9"/>
        <v>0</v>
      </c>
      <c r="O41" s="7">
        <f t="shared" si="5"/>
        <v>178933</v>
      </c>
      <c r="P41" s="23">
        <f>P119</f>
        <v>184690</v>
      </c>
      <c r="Q41" s="54">
        <f>Q119</f>
        <v>204628.448</v>
      </c>
      <c r="R41" s="7">
        <f>R119</f>
        <v>203013</v>
      </c>
      <c r="S41" s="61">
        <f t="shared" si="7"/>
        <v>1615.448000000004</v>
      </c>
      <c r="T41" s="7">
        <f>T119</f>
        <v>205659</v>
      </c>
      <c r="U41" s="6"/>
      <c r="V41" s="78">
        <f>V119</f>
        <v>237077</v>
      </c>
      <c r="X41" s="78">
        <f>X119</f>
        <v>237077</v>
      </c>
      <c r="Z41" s="5"/>
    </row>
    <row r="42" spans="1:27" ht="20.100000000000001" customHeight="1" x14ac:dyDescent="0.3">
      <c r="A42" s="8" t="s">
        <v>38</v>
      </c>
      <c r="B42" s="9">
        <f>B139</f>
        <v>7070</v>
      </c>
      <c r="C42" s="9">
        <f t="shared" ref="C42:N42" si="10">C139</f>
        <v>7109</v>
      </c>
      <c r="D42" s="9">
        <f t="shared" si="10"/>
        <v>8292</v>
      </c>
      <c r="E42" s="9">
        <f t="shared" si="10"/>
        <v>10678</v>
      </c>
      <c r="F42" s="9">
        <f t="shared" si="10"/>
        <v>5711</v>
      </c>
      <c r="G42" s="9">
        <f t="shared" si="10"/>
        <v>1444</v>
      </c>
      <c r="H42" s="9">
        <f t="shared" si="10"/>
        <v>3799</v>
      </c>
      <c r="I42" s="9">
        <f t="shared" si="10"/>
        <v>4512</v>
      </c>
      <c r="J42" s="9">
        <f t="shared" si="10"/>
        <v>7184</v>
      </c>
      <c r="K42" s="9">
        <f t="shared" si="10"/>
        <v>7247</v>
      </c>
      <c r="L42" s="9">
        <f t="shared" si="10"/>
        <v>5823</v>
      </c>
      <c r="M42" s="9">
        <f t="shared" si="10"/>
        <v>5844</v>
      </c>
      <c r="N42" s="9">
        <f t="shared" si="10"/>
        <v>0</v>
      </c>
      <c r="O42" s="7">
        <f t="shared" si="5"/>
        <v>74713</v>
      </c>
      <c r="P42" s="23">
        <f>P139</f>
        <v>94028</v>
      </c>
      <c r="Q42" s="54">
        <f>Q139</f>
        <v>99600</v>
      </c>
      <c r="R42" s="7">
        <f>R139</f>
        <v>123666</v>
      </c>
      <c r="S42" s="61">
        <f t="shared" si="7"/>
        <v>-24066</v>
      </c>
      <c r="T42" s="7">
        <f>T139</f>
        <v>124192</v>
      </c>
      <c r="U42" s="6"/>
      <c r="V42" s="78">
        <f>V139</f>
        <v>137350</v>
      </c>
      <c r="X42" s="78">
        <f>X139</f>
        <v>137350</v>
      </c>
      <c r="Z42" s="5"/>
    </row>
    <row r="43" spans="1:27" ht="20.100000000000001" customHeight="1" x14ac:dyDescent="0.3">
      <c r="A43" s="8" t="s">
        <v>39</v>
      </c>
      <c r="B43" s="9">
        <f>B144</f>
        <v>3439</v>
      </c>
      <c r="C43" s="9">
        <f t="shared" ref="C43:N43" si="11">C144</f>
        <v>3537</v>
      </c>
      <c r="D43" s="9">
        <f t="shared" si="11"/>
        <v>3549</v>
      </c>
      <c r="E43" s="9">
        <f t="shared" si="11"/>
        <v>3394</v>
      </c>
      <c r="F43" s="9">
        <f t="shared" si="11"/>
        <v>143</v>
      </c>
      <c r="G43" s="9">
        <f t="shared" si="11"/>
        <v>3537</v>
      </c>
      <c r="H43" s="9">
        <f t="shared" si="11"/>
        <v>3554</v>
      </c>
      <c r="I43" s="9">
        <f t="shared" si="11"/>
        <v>3570</v>
      </c>
      <c r="J43" s="9">
        <f t="shared" si="11"/>
        <v>3570</v>
      </c>
      <c r="K43" s="9">
        <f t="shared" si="11"/>
        <v>3614</v>
      </c>
      <c r="L43" s="9">
        <f t="shared" si="11"/>
        <v>3690</v>
      </c>
      <c r="M43" s="9">
        <f t="shared" si="11"/>
        <v>3718</v>
      </c>
      <c r="N43" s="9">
        <f t="shared" si="11"/>
        <v>0</v>
      </c>
      <c r="O43" s="7">
        <f t="shared" si="5"/>
        <v>39315</v>
      </c>
      <c r="P43" s="23">
        <f>P144</f>
        <v>44500</v>
      </c>
      <c r="Q43" s="54">
        <f>Q144</f>
        <v>44500</v>
      </c>
      <c r="R43" s="7">
        <f>R144</f>
        <v>44457</v>
      </c>
      <c r="S43" s="61">
        <f t="shared" si="7"/>
        <v>43</v>
      </c>
      <c r="T43" s="7">
        <f>T144</f>
        <v>44321</v>
      </c>
      <c r="U43" s="6"/>
      <c r="V43" s="78">
        <f>V144</f>
        <v>42500</v>
      </c>
      <c r="X43" s="78">
        <f>X144</f>
        <v>52250</v>
      </c>
    </row>
    <row r="44" spans="1:27" ht="20.100000000000001" customHeight="1" x14ac:dyDescent="0.3">
      <c r="A44" s="8" t="s">
        <v>40</v>
      </c>
      <c r="B44" s="9">
        <f>B154</f>
        <v>350</v>
      </c>
      <c r="C44" s="9">
        <f t="shared" ref="C44:N44" si="12">C154</f>
        <v>350</v>
      </c>
      <c r="D44" s="9">
        <f t="shared" si="12"/>
        <v>350</v>
      </c>
      <c r="E44" s="9">
        <f t="shared" si="12"/>
        <v>350</v>
      </c>
      <c r="F44" s="9">
        <f t="shared" si="12"/>
        <v>312</v>
      </c>
      <c r="G44" s="9">
        <f t="shared" si="12"/>
        <v>674</v>
      </c>
      <c r="H44" s="9">
        <f t="shared" si="12"/>
        <v>350</v>
      </c>
      <c r="I44" s="9">
        <f t="shared" si="12"/>
        <v>0</v>
      </c>
      <c r="J44" s="9">
        <f t="shared" si="12"/>
        <v>320</v>
      </c>
      <c r="K44" s="9">
        <f t="shared" si="12"/>
        <v>0</v>
      </c>
      <c r="L44" s="9">
        <f t="shared" si="12"/>
        <v>320</v>
      </c>
      <c r="M44" s="9">
        <f t="shared" si="12"/>
        <v>480</v>
      </c>
      <c r="N44" s="9">
        <f t="shared" si="12"/>
        <v>0</v>
      </c>
      <c r="O44" s="7">
        <f t="shared" si="5"/>
        <v>3856</v>
      </c>
      <c r="P44" s="23">
        <f>P154</f>
        <v>7800</v>
      </c>
      <c r="Q44" s="54">
        <f>Q154</f>
        <v>6000</v>
      </c>
      <c r="R44" s="7">
        <f>R154</f>
        <v>4671</v>
      </c>
      <c r="S44" s="61">
        <f t="shared" si="7"/>
        <v>1329</v>
      </c>
      <c r="T44" s="7">
        <f>T154</f>
        <v>1418</v>
      </c>
      <c r="U44" s="6"/>
      <c r="V44" s="78">
        <f>V154</f>
        <v>5200</v>
      </c>
      <c r="X44" s="78">
        <f>X154</f>
        <v>5200</v>
      </c>
      <c r="Z44" s="5"/>
    </row>
    <row r="45" spans="1:27" ht="20.100000000000001" customHeight="1" x14ac:dyDescent="0.3">
      <c r="A45" s="10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6"/>
      <c r="N45" s="6"/>
      <c r="O45" s="6"/>
      <c r="P45" s="23"/>
      <c r="Q45" s="54"/>
      <c r="R45" s="7"/>
      <c r="S45" s="61"/>
      <c r="T45" s="7"/>
      <c r="U45" s="6"/>
      <c r="V45" s="78"/>
      <c r="X45" s="78"/>
      <c r="AA45" s="5"/>
    </row>
    <row r="46" spans="1:27" s="38" customFormat="1" ht="20.100000000000001" customHeight="1" x14ac:dyDescent="0.25">
      <c r="A46" s="34" t="s">
        <v>41</v>
      </c>
      <c r="B46" s="35">
        <f>SUM(B38:B45)</f>
        <v>37455</v>
      </c>
      <c r="C46" s="35">
        <f>SUM(C38:C45)</f>
        <v>32268</v>
      </c>
      <c r="D46" s="35">
        <f t="shared" ref="D46:N46" si="13">SUM(D38:D45)</f>
        <v>37567</v>
      </c>
      <c r="E46" s="35">
        <f t="shared" si="13"/>
        <v>37584</v>
      </c>
      <c r="F46" s="35">
        <f t="shared" si="13"/>
        <v>32825</v>
      </c>
      <c r="G46" s="35">
        <f t="shared" si="13"/>
        <v>35708</v>
      </c>
      <c r="H46" s="35">
        <f t="shared" si="13"/>
        <v>29740</v>
      </c>
      <c r="I46" s="35">
        <f t="shared" si="13"/>
        <v>36569</v>
      </c>
      <c r="J46" s="35">
        <f t="shared" si="13"/>
        <v>57166</v>
      </c>
      <c r="K46" s="35">
        <f t="shared" si="13"/>
        <v>32330</v>
      </c>
      <c r="L46" s="35">
        <f t="shared" si="13"/>
        <v>37806</v>
      </c>
      <c r="M46" s="35">
        <f t="shared" si="13"/>
        <v>41411</v>
      </c>
      <c r="N46" s="35">
        <f t="shared" si="13"/>
        <v>0</v>
      </c>
      <c r="O46" s="36">
        <f>SUM(O38:O44)</f>
        <v>448429</v>
      </c>
      <c r="P46" s="37">
        <f>SUM(P38:P45)</f>
        <v>481360</v>
      </c>
      <c r="Q46" s="39">
        <f>SUM(Q38:Q45)</f>
        <v>530550.44799999997</v>
      </c>
      <c r="R46" s="58">
        <f>SUM(R38:R45)</f>
        <v>599521</v>
      </c>
      <c r="S46" s="64">
        <f>SUM(S38:S44)</f>
        <v>-68970.551999999996</v>
      </c>
      <c r="T46" s="64">
        <f>SUM(T38:T44)</f>
        <v>596500</v>
      </c>
      <c r="U46" s="65"/>
      <c r="V46" s="80">
        <f>SUM(V38:V45)</f>
        <v>687426</v>
      </c>
      <c r="X46" s="80">
        <f>SUM(X38:X45)</f>
        <v>812901</v>
      </c>
    </row>
    <row r="47" spans="1:27" ht="20.100000000000001" customHeight="1" x14ac:dyDescent="0.3">
      <c r="A47" s="10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6"/>
      <c r="N47" s="6"/>
      <c r="O47" s="6"/>
      <c r="P47" s="7"/>
      <c r="Q47" s="7"/>
      <c r="R47" s="7"/>
      <c r="S47" s="61"/>
      <c r="T47" s="61"/>
      <c r="U47" s="6"/>
      <c r="V47" s="7"/>
      <c r="X47" s="7"/>
    </row>
    <row r="48" spans="1:27" s="44" customFormat="1" ht="20.100000000000001" customHeight="1" x14ac:dyDescent="0.3">
      <c r="A48" s="40" t="s">
        <v>42</v>
      </c>
      <c r="B48" s="41">
        <f>B36-B46</f>
        <v>-9786.2999999999993</v>
      </c>
      <c r="C48" s="41">
        <f>C36-C46</f>
        <v>-11532</v>
      </c>
      <c r="D48" s="41">
        <f t="shared" ref="D48:O48" si="14">D36-D46</f>
        <v>31807</v>
      </c>
      <c r="E48" s="41">
        <f t="shared" si="14"/>
        <v>15625</v>
      </c>
      <c r="F48" s="41">
        <f t="shared" si="14"/>
        <v>60415</v>
      </c>
      <c r="G48" s="41">
        <f t="shared" si="14"/>
        <v>-11684</v>
      </c>
      <c r="H48" s="41">
        <f t="shared" si="14"/>
        <v>19395</v>
      </c>
      <c r="I48" s="41">
        <f t="shared" si="14"/>
        <v>-8794</v>
      </c>
      <c r="J48" s="41">
        <f t="shared" si="14"/>
        <v>-37026</v>
      </c>
      <c r="K48" s="41">
        <f t="shared" si="14"/>
        <v>-13306</v>
      </c>
      <c r="L48" s="41">
        <f t="shared" si="14"/>
        <v>-14150</v>
      </c>
      <c r="M48" s="41">
        <f t="shared" si="14"/>
        <v>-34194</v>
      </c>
      <c r="N48" s="41">
        <f t="shared" si="14"/>
        <v>0</v>
      </c>
      <c r="O48" s="33">
        <f t="shared" si="14"/>
        <v>-13230.299999999988</v>
      </c>
      <c r="P48" s="42">
        <f>P36-P46</f>
        <v>-7900</v>
      </c>
      <c r="Q48" s="43">
        <f>Q36-Q46</f>
        <v>-5050.4479999999749</v>
      </c>
      <c r="R48" s="57">
        <f>R36-R46</f>
        <v>0</v>
      </c>
      <c r="S48" s="66">
        <f>S36-S46</f>
        <v>-5050.448000000004</v>
      </c>
      <c r="T48" s="66"/>
      <c r="U48" s="47"/>
      <c r="V48" s="81">
        <f>V36-V46</f>
        <v>0</v>
      </c>
      <c r="X48" s="81">
        <f>X36-X46</f>
        <v>0</v>
      </c>
    </row>
    <row r="49" spans="1:24" ht="20.100000000000001" customHeight="1" x14ac:dyDescent="0.3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6"/>
      <c r="N49" s="6"/>
      <c r="O49" s="6"/>
      <c r="P49" s="7"/>
      <c r="Q49" s="7"/>
      <c r="R49" s="7"/>
      <c r="S49" s="7"/>
      <c r="T49" s="7"/>
      <c r="U49" s="6"/>
      <c r="V49" s="7"/>
      <c r="X49" s="7"/>
    </row>
    <row r="50" spans="1:24" ht="20.100000000000001" customHeight="1" x14ac:dyDescent="0.3">
      <c r="A50" s="12" t="s">
        <v>111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6"/>
      <c r="N50" s="6"/>
      <c r="O50" s="6"/>
      <c r="P50" s="7"/>
      <c r="Q50" s="7"/>
      <c r="R50" s="7"/>
      <c r="S50" s="7"/>
      <c r="T50" s="7"/>
      <c r="U50" s="6"/>
      <c r="V50" s="7"/>
      <c r="X50" s="7"/>
    </row>
    <row r="51" spans="1:24" s="44" customFormat="1" ht="20.100000000000001" customHeight="1" x14ac:dyDescent="0.3">
      <c r="A51" s="45" t="s">
        <v>34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7"/>
      <c r="N51" s="47"/>
      <c r="O51" s="47"/>
      <c r="P51" s="46"/>
      <c r="Q51" s="46"/>
      <c r="R51" s="46"/>
      <c r="S51" s="46"/>
      <c r="T51" s="46"/>
      <c r="U51" s="47"/>
      <c r="V51" s="46"/>
      <c r="X51" s="46"/>
    </row>
    <row r="52" spans="1:24" s="44" customFormat="1" ht="20.100000000000001" customHeight="1" x14ac:dyDescent="0.3">
      <c r="A52" s="8" t="s">
        <v>152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7"/>
      <c r="N52" s="47"/>
      <c r="O52" s="47"/>
      <c r="P52" s="46"/>
      <c r="Q52" s="46"/>
      <c r="R52" s="46"/>
      <c r="S52" s="46"/>
      <c r="T52" s="46"/>
      <c r="U52" s="47"/>
      <c r="V52" s="7">
        <v>50000</v>
      </c>
      <c r="X52" s="7">
        <v>50000</v>
      </c>
    </row>
    <row r="53" spans="1:24" s="44" customFormat="1" ht="20.100000000000001" customHeight="1" x14ac:dyDescent="0.3">
      <c r="A53" s="8" t="s">
        <v>153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7"/>
      <c r="N53" s="47"/>
      <c r="O53" s="47"/>
      <c r="P53" s="46"/>
      <c r="Q53" s="46"/>
      <c r="R53" s="46"/>
      <c r="S53" s="46"/>
      <c r="T53" s="46"/>
      <c r="U53" s="47"/>
      <c r="V53" s="7">
        <f>V52*0.0765</f>
        <v>3825</v>
      </c>
      <c r="X53" s="7">
        <f>X52*0.0765</f>
        <v>3825</v>
      </c>
    </row>
    <row r="54" spans="1:24" ht="20.100000000000001" customHeight="1" x14ac:dyDescent="0.3">
      <c r="A54" s="8" t="s">
        <v>43</v>
      </c>
      <c r="B54" s="9">
        <v>0</v>
      </c>
      <c r="C54" s="9"/>
      <c r="D54" s="9"/>
      <c r="E54" s="9"/>
      <c r="F54" s="9"/>
      <c r="G54" s="9"/>
      <c r="H54" s="9">
        <v>75</v>
      </c>
      <c r="I54" s="9"/>
      <c r="J54" s="9"/>
      <c r="K54" s="9"/>
      <c r="L54" s="9"/>
      <c r="M54" s="6"/>
      <c r="N54" s="6"/>
      <c r="O54" s="7">
        <f t="shared" ref="O54:O57" si="15">SUM(B54:N54)</f>
        <v>75</v>
      </c>
      <c r="P54" s="23">
        <v>7200</v>
      </c>
      <c r="Q54" s="54">
        <v>7200</v>
      </c>
      <c r="R54" s="7">
        <v>7200</v>
      </c>
      <c r="S54" s="61">
        <f>Q54-R54</f>
        <v>0</v>
      </c>
      <c r="T54" s="61">
        <v>7200</v>
      </c>
      <c r="U54" s="6"/>
      <c r="V54" s="78">
        <f>SUM(R54+T54)/2</f>
        <v>7200</v>
      </c>
      <c r="X54" s="78">
        <f>SUM(T54+V54)/2</f>
        <v>7200</v>
      </c>
    </row>
    <row r="55" spans="1:24" ht="20.100000000000001" customHeight="1" x14ac:dyDescent="0.3">
      <c r="A55" s="8" t="s">
        <v>44</v>
      </c>
      <c r="B55" s="9">
        <v>0</v>
      </c>
      <c r="C55" s="9"/>
      <c r="D55" s="9"/>
      <c r="E55" s="9"/>
      <c r="F55" s="9"/>
      <c r="G55" s="9"/>
      <c r="H55" s="9"/>
      <c r="I55" s="9">
        <v>6</v>
      </c>
      <c r="J55" s="9"/>
      <c r="K55" s="9"/>
      <c r="L55" s="9"/>
      <c r="M55" s="6"/>
      <c r="N55" s="6"/>
      <c r="O55" s="7">
        <f t="shared" si="15"/>
        <v>6</v>
      </c>
      <c r="P55" s="23">
        <v>551</v>
      </c>
      <c r="Q55" s="54">
        <v>551</v>
      </c>
      <c r="R55" s="7">
        <v>551</v>
      </c>
      <c r="S55" s="61">
        <v>0</v>
      </c>
      <c r="T55" s="61">
        <v>551</v>
      </c>
      <c r="U55" s="6"/>
      <c r="V55" s="78">
        <f t="shared" ref="V55:X55" si="16">SUM(R55+T55)/2</f>
        <v>551</v>
      </c>
      <c r="X55" s="78">
        <f t="shared" si="16"/>
        <v>551</v>
      </c>
    </row>
    <row r="56" spans="1:24" ht="20.100000000000001" customHeight="1" x14ac:dyDescent="0.3">
      <c r="A56" s="8" t="s">
        <v>45</v>
      </c>
      <c r="B56" s="9">
        <v>0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6"/>
      <c r="N56" s="6"/>
      <c r="O56" s="7">
        <f t="shared" si="15"/>
        <v>0</v>
      </c>
      <c r="P56" s="23">
        <v>250</v>
      </c>
      <c r="Q56" s="54">
        <v>100</v>
      </c>
      <c r="R56" s="7">
        <v>100</v>
      </c>
      <c r="S56" s="61">
        <f t="shared" ref="S56:S57" si="17">Q56-R56</f>
        <v>0</v>
      </c>
      <c r="T56" s="61">
        <v>100</v>
      </c>
      <c r="U56" s="6"/>
      <c r="V56" s="78">
        <v>250</v>
      </c>
      <c r="X56" s="78">
        <v>250</v>
      </c>
    </row>
    <row r="57" spans="1:24" ht="20.100000000000001" customHeight="1" x14ac:dyDescent="0.3">
      <c r="A57" s="8" t="s">
        <v>46</v>
      </c>
      <c r="B57" s="9">
        <v>0</v>
      </c>
      <c r="C57" s="9"/>
      <c r="D57" s="9"/>
      <c r="E57" s="9"/>
      <c r="F57" s="9"/>
      <c r="G57" s="9"/>
      <c r="H57" s="9">
        <v>1170</v>
      </c>
      <c r="I57" s="9">
        <v>39</v>
      </c>
      <c r="J57" s="9"/>
      <c r="K57" s="9"/>
      <c r="L57" s="9"/>
      <c r="M57" s="6"/>
      <c r="N57" s="6"/>
      <c r="O57" s="7">
        <f t="shared" si="15"/>
        <v>1209</v>
      </c>
      <c r="P57" s="23">
        <v>750</v>
      </c>
      <c r="Q57" s="54">
        <v>150</v>
      </c>
      <c r="R57" s="7">
        <v>150</v>
      </c>
      <c r="S57" s="61">
        <f t="shared" si="17"/>
        <v>0</v>
      </c>
      <c r="T57" s="61">
        <v>150</v>
      </c>
      <c r="U57" s="6"/>
      <c r="V57" s="78">
        <v>1000</v>
      </c>
      <c r="X57" s="78">
        <v>1000</v>
      </c>
    </row>
    <row r="58" spans="1:24" ht="20.100000000000001" customHeight="1" x14ac:dyDescent="0.3">
      <c r="A58" s="10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6"/>
      <c r="N58" s="6"/>
      <c r="O58" s="8"/>
      <c r="P58" s="7"/>
      <c r="Q58" s="7"/>
      <c r="R58" s="7"/>
      <c r="S58" s="61"/>
      <c r="T58" s="61"/>
      <c r="U58" s="6"/>
      <c r="V58" s="7"/>
      <c r="X58" s="7"/>
    </row>
    <row r="59" spans="1:24" s="38" customFormat="1" ht="20.100000000000001" customHeight="1" x14ac:dyDescent="0.25">
      <c r="A59" s="34" t="s">
        <v>114</v>
      </c>
      <c r="B59" s="35">
        <f>SUM(B54:B58)</f>
        <v>0</v>
      </c>
      <c r="C59" s="35">
        <f t="shared" ref="C59:N59" si="18">SUM(C54:C58)</f>
        <v>0</v>
      </c>
      <c r="D59" s="35">
        <f t="shared" si="18"/>
        <v>0</v>
      </c>
      <c r="E59" s="35">
        <f t="shared" si="18"/>
        <v>0</v>
      </c>
      <c r="F59" s="35">
        <f t="shared" si="18"/>
        <v>0</v>
      </c>
      <c r="G59" s="35">
        <f t="shared" si="18"/>
        <v>0</v>
      </c>
      <c r="H59" s="35">
        <f t="shared" si="18"/>
        <v>1245</v>
      </c>
      <c r="I59" s="35">
        <f t="shared" si="18"/>
        <v>45</v>
      </c>
      <c r="J59" s="35">
        <f t="shared" si="18"/>
        <v>0</v>
      </c>
      <c r="K59" s="35">
        <f t="shared" si="18"/>
        <v>0</v>
      </c>
      <c r="L59" s="35">
        <f t="shared" si="18"/>
        <v>0</v>
      </c>
      <c r="M59" s="35">
        <f t="shared" si="18"/>
        <v>0</v>
      </c>
      <c r="N59" s="35">
        <f t="shared" si="18"/>
        <v>0</v>
      </c>
      <c r="O59" s="36">
        <f>SUM(O54:O57)</f>
        <v>1290</v>
      </c>
      <c r="P59" s="37">
        <f>SUM(P54:P58)</f>
        <v>8751</v>
      </c>
      <c r="Q59" s="39">
        <f t="shared" ref="Q59:S59" si="19">SUM(Q54:Q58)</f>
        <v>8001</v>
      </c>
      <c r="R59" s="59">
        <f t="shared" si="19"/>
        <v>8001</v>
      </c>
      <c r="S59" s="64">
        <f t="shared" si="19"/>
        <v>0</v>
      </c>
      <c r="T59" s="64">
        <f>SUM(T54:T58)</f>
        <v>8001</v>
      </c>
      <c r="U59" s="65"/>
      <c r="V59" s="80">
        <f>SUM(V52:V57)</f>
        <v>62826</v>
      </c>
      <c r="X59" s="80">
        <f>SUM(X52:X57)</f>
        <v>62826</v>
      </c>
    </row>
    <row r="60" spans="1:24" ht="20.100000000000001" customHeight="1" x14ac:dyDescent="0.3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6"/>
      <c r="N60" s="6"/>
      <c r="O60" s="6"/>
      <c r="P60" s="7"/>
      <c r="Q60" s="7"/>
      <c r="R60" s="7"/>
      <c r="S60" s="7"/>
      <c r="T60" s="7"/>
      <c r="U60" s="6"/>
      <c r="V60" s="7"/>
      <c r="X60" s="7"/>
    </row>
    <row r="61" spans="1:24" ht="20.100000000000001" customHeight="1" x14ac:dyDescent="0.3">
      <c r="A61" s="45" t="s">
        <v>35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6"/>
      <c r="N61" s="6"/>
      <c r="O61" s="6"/>
      <c r="P61" s="7"/>
      <c r="Q61" s="7"/>
      <c r="R61" s="7"/>
      <c r="S61" s="7"/>
      <c r="T61" s="7"/>
      <c r="U61" s="6"/>
      <c r="V61" s="7"/>
      <c r="X61" s="7"/>
    </row>
    <row r="62" spans="1:24" ht="20.100000000000001" customHeight="1" x14ac:dyDescent="0.3">
      <c r="A62" s="8" t="s">
        <v>47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6"/>
      <c r="N62" s="6"/>
      <c r="O62" s="7">
        <f t="shared" ref="O62" si="20">SUM(B62:N62)</f>
        <v>0</v>
      </c>
      <c r="P62" s="23">
        <v>1200</v>
      </c>
      <c r="Q62" s="54">
        <v>600</v>
      </c>
      <c r="R62" s="7">
        <v>600</v>
      </c>
      <c r="S62" s="61">
        <f>Q62-R62</f>
        <v>0</v>
      </c>
      <c r="T62" s="61">
        <v>600</v>
      </c>
      <c r="U62" s="6"/>
      <c r="V62" s="78">
        <v>50</v>
      </c>
      <c r="X62" s="78">
        <v>50</v>
      </c>
    </row>
    <row r="63" spans="1:24" ht="20.100000000000001" customHeight="1" x14ac:dyDescent="0.3">
      <c r="A63" s="10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6"/>
      <c r="N63" s="6"/>
      <c r="O63" s="6"/>
      <c r="P63" s="7"/>
      <c r="Q63" s="7"/>
      <c r="R63" s="7"/>
      <c r="S63" s="61"/>
      <c r="T63" s="61"/>
      <c r="U63" s="6"/>
      <c r="V63" s="7"/>
      <c r="X63" s="7"/>
    </row>
    <row r="64" spans="1:24" s="38" customFormat="1" ht="20.100000000000001" customHeight="1" x14ac:dyDescent="0.3">
      <c r="A64" s="34" t="s">
        <v>48</v>
      </c>
      <c r="B64" s="35">
        <f>B62</f>
        <v>0</v>
      </c>
      <c r="C64" s="35">
        <f t="shared" ref="C64:N64" si="21">C62</f>
        <v>0</v>
      </c>
      <c r="D64" s="35">
        <f t="shared" si="21"/>
        <v>0</v>
      </c>
      <c r="E64" s="35">
        <f t="shared" si="21"/>
        <v>0</v>
      </c>
      <c r="F64" s="35">
        <f t="shared" si="21"/>
        <v>0</v>
      </c>
      <c r="G64" s="35">
        <f t="shared" si="21"/>
        <v>0</v>
      </c>
      <c r="H64" s="35">
        <f t="shared" si="21"/>
        <v>0</v>
      </c>
      <c r="I64" s="35">
        <f t="shared" si="21"/>
        <v>0</v>
      </c>
      <c r="J64" s="35">
        <f t="shared" si="21"/>
        <v>0</v>
      </c>
      <c r="K64" s="35">
        <f t="shared" si="21"/>
        <v>0</v>
      </c>
      <c r="L64" s="35">
        <f t="shared" si="21"/>
        <v>0</v>
      </c>
      <c r="M64" s="35">
        <f t="shared" si="21"/>
        <v>0</v>
      </c>
      <c r="N64" s="35">
        <f t="shared" si="21"/>
        <v>0</v>
      </c>
      <c r="O64" s="36">
        <f>O62</f>
        <v>0</v>
      </c>
      <c r="P64" s="37">
        <f>SUM(P62:P63)</f>
        <v>1200</v>
      </c>
      <c r="Q64" s="39">
        <f>SUM(Q62:Q63)</f>
        <v>600</v>
      </c>
      <c r="R64" s="59">
        <f>SUM(R62:R63)</f>
        <v>600</v>
      </c>
      <c r="S64" s="64">
        <f>SUM(S62:S63)</f>
        <v>0</v>
      </c>
      <c r="T64" s="64">
        <v>600</v>
      </c>
      <c r="U64" s="65"/>
      <c r="V64" s="78">
        <v>50</v>
      </c>
      <c r="X64" s="78">
        <v>50</v>
      </c>
    </row>
    <row r="65" spans="1:24" ht="20.100000000000001" customHeight="1" x14ac:dyDescent="0.3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6"/>
      <c r="N65" s="6"/>
      <c r="O65" s="6"/>
      <c r="P65" s="7"/>
      <c r="Q65" s="7"/>
      <c r="R65" s="7"/>
      <c r="S65" s="7"/>
      <c r="T65" s="7"/>
      <c r="U65" s="6"/>
      <c r="V65" s="7"/>
      <c r="X65" s="7"/>
    </row>
    <row r="66" spans="1:24" ht="20.100000000000001" customHeight="1" x14ac:dyDescent="0.3">
      <c r="A66" s="12" t="s">
        <v>112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6"/>
      <c r="N66" s="6"/>
      <c r="O66" s="6"/>
      <c r="P66" s="7"/>
      <c r="Q66" s="7"/>
      <c r="R66" s="7"/>
      <c r="S66" s="7"/>
      <c r="T66" s="7"/>
      <c r="U66" s="6"/>
      <c r="V66" s="7"/>
      <c r="X66" s="7"/>
    </row>
    <row r="67" spans="1:24" s="44" customFormat="1" ht="20.100000000000001" customHeight="1" x14ac:dyDescent="0.3">
      <c r="A67" s="45" t="s">
        <v>49</v>
      </c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7"/>
      <c r="N67" s="47"/>
      <c r="O67" s="47"/>
      <c r="P67" s="46"/>
      <c r="Q67" s="55"/>
      <c r="R67" s="46"/>
      <c r="S67" s="46"/>
      <c r="T67" s="46"/>
      <c r="U67" s="47"/>
      <c r="V67" s="46"/>
      <c r="X67" s="46"/>
    </row>
    <row r="68" spans="1:24" ht="20.100000000000001" customHeight="1" x14ac:dyDescent="0.3">
      <c r="A68" s="8" t="s">
        <v>50</v>
      </c>
      <c r="B68" s="9">
        <v>5238</v>
      </c>
      <c r="C68" s="9">
        <v>3581</v>
      </c>
      <c r="D68" s="9">
        <v>4143</v>
      </c>
      <c r="E68" s="9">
        <v>3839</v>
      </c>
      <c r="F68" s="9">
        <v>4200</v>
      </c>
      <c r="G68" s="9">
        <v>4032</v>
      </c>
      <c r="H68" s="9">
        <v>3228</v>
      </c>
      <c r="I68" s="9">
        <v>4377</v>
      </c>
      <c r="J68" s="9">
        <v>5903</v>
      </c>
      <c r="K68" s="9">
        <v>5012</v>
      </c>
      <c r="L68" s="9">
        <v>4519</v>
      </c>
      <c r="M68" s="9">
        <v>6600</v>
      </c>
      <c r="N68" s="6"/>
      <c r="O68" s="7">
        <f t="shared" ref="O68:O92" si="22">SUM(B68:N68)</f>
        <v>54672</v>
      </c>
      <c r="P68" s="23">
        <v>66816</v>
      </c>
      <c r="Q68" s="54">
        <v>72970</v>
      </c>
      <c r="R68" s="7">
        <v>72970</v>
      </c>
      <c r="S68" s="61">
        <f>Q68-R68</f>
        <v>0</v>
      </c>
      <c r="T68" s="61">
        <v>72970</v>
      </c>
      <c r="U68" s="6"/>
      <c r="V68" s="78">
        <v>74586</v>
      </c>
      <c r="X68" s="78">
        <f>74586+5928</f>
        <v>80514</v>
      </c>
    </row>
    <row r="69" spans="1:24" ht="20.100000000000001" customHeight="1" x14ac:dyDescent="0.3">
      <c r="A69" s="8" t="s">
        <v>51</v>
      </c>
      <c r="B69" s="9">
        <v>401</v>
      </c>
      <c r="C69" s="9">
        <v>274</v>
      </c>
      <c r="D69" s="9">
        <v>317</v>
      </c>
      <c r="E69" s="9">
        <v>294</v>
      </c>
      <c r="F69" s="9">
        <v>321</v>
      </c>
      <c r="G69" s="9"/>
      <c r="H69" s="9">
        <v>308</v>
      </c>
      <c r="I69" s="9">
        <v>677</v>
      </c>
      <c r="J69" s="9">
        <v>335</v>
      </c>
      <c r="K69" s="9">
        <v>452</v>
      </c>
      <c r="L69" s="9">
        <v>383</v>
      </c>
      <c r="M69" s="6"/>
      <c r="N69" s="6"/>
      <c r="O69" s="7">
        <f t="shared" si="22"/>
        <v>3762</v>
      </c>
      <c r="P69" s="23">
        <v>5111</v>
      </c>
      <c r="Q69" s="54">
        <v>5582</v>
      </c>
      <c r="R69" s="7">
        <v>5582</v>
      </c>
      <c r="S69" s="61">
        <f t="shared" ref="S69:S92" si="23">Q69-R69</f>
        <v>0</v>
      </c>
      <c r="T69" s="61">
        <v>5582</v>
      </c>
      <c r="U69" s="6"/>
      <c r="V69" s="78">
        <v>5706</v>
      </c>
      <c r="X69" s="78">
        <v>5706</v>
      </c>
    </row>
    <row r="70" spans="1:24" ht="20.100000000000001" customHeight="1" x14ac:dyDescent="0.3">
      <c r="A70" s="8" t="s">
        <v>52</v>
      </c>
      <c r="B70" s="9"/>
      <c r="C70" s="9"/>
      <c r="D70" s="9"/>
      <c r="E70" s="9"/>
      <c r="F70" s="9"/>
      <c r="G70" s="9">
        <v>15</v>
      </c>
      <c r="H70" s="9"/>
      <c r="I70" s="9"/>
      <c r="J70" s="9">
        <v>18</v>
      </c>
      <c r="K70" s="9"/>
      <c r="L70" s="9"/>
      <c r="M70" s="6"/>
      <c r="N70" s="6"/>
      <c r="O70" s="7">
        <f t="shared" si="22"/>
        <v>33</v>
      </c>
      <c r="P70" s="23">
        <v>50</v>
      </c>
      <c r="Q70" s="54">
        <v>50</v>
      </c>
      <c r="R70" s="7">
        <v>494</v>
      </c>
      <c r="S70" s="61">
        <f t="shared" si="23"/>
        <v>-444</v>
      </c>
      <c r="T70" s="61">
        <v>1900</v>
      </c>
      <c r="U70" s="6"/>
      <c r="V70" s="78">
        <v>1750</v>
      </c>
      <c r="X70" s="78">
        <v>1750</v>
      </c>
    </row>
    <row r="71" spans="1:24" ht="20.100000000000001" customHeight="1" x14ac:dyDescent="0.3">
      <c r="A71" s="8" t="s">
        <v>53</v>
      </c>
      <c r="B71" s="9"/>
      <c r="C71" s="9"/>
      <c r="D71" s="9"/>
      <c r="E71" s="9"/>
      <c r="F71" s="9"/>
      <c r="G71" s="9"/>
      <c r="H71" s="9"/>
      <c r="I71" s="9">
        <v>161</v>
      </c>
      <c r="J71" s="9"/>
      <c r="K71" s="9"/>
      <c r="L71" s="9"/>
      <c r="M71" s="6"/>
      <c r="N71" s="6"/>
      <c r="O71" s="7">
        <f t="shared" si="22"/>
        <v>161</v>
      </c>
      <c r="P71" s="23">
        <v>210</v>
      </c>
      <c r="Q71" s="54">
        <v>210</v>
      </c>
      <c r="R71" s="7">
        <v>280</v>
      </c>
      <c r="S71" s="61">
        <f t="shared" si="23"/>
        <v>-70</v>
      </c>
      <c r="T71" s="61">
        <v>44</v>
      </c>
      <c r="U71" s="6"/>
      <c r="V71" s="78">
        <v>300</v>
      </c>
      <c r="X71" s="78">
        <v>300</v>
      </c>
    </row>
    <row r="72" spans="1:24" ht="20.100000000000001" customHeight="1" x14ac:dyDescent="0.3">
      <c r="A72" s="8" t="s">
        <v>54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>
        <v>200</v>
      </c>
      <c r="M72" s="6"/>
      <c r="N72" s="6"/>
      <c r="O72" s="7">
        <f t="shared" si="22"/>
        <v>200</v>
      </c>
      <c r="P72" s="23">
        <v>0</v>
      </c>
      <c r="Q72" s="54">
        <v>250</v>
      </c>
      <c r="R72" s="7">
        <v>3738</v>
      </c>
      <c r="S72" s="61">
        <f t="shared" si="23"/>
        <v>-3488</v>
      </c>
      <c r="T72" s="61">
        <v>7127</v>
      </c>
      <c r="U72" s="6"/>
      <c r="V72" s="78">
        <v>500</v>
      </c>
      <c r="X72" s="78">
        <v>500</v>
      </c>
    </row>
    <row r="73" spans="1:24" ht="20.100000000000001" customHeight="1" x14ac:dyDescent="0.3">
      <c r="A73" s="8" t="s">
        <v>55</v>
      </c>
      <c r="B73" s="9">
        <v>2550</v>
      </c>
      <c r="C73" s="9">
        <v>200</v>
      </c>
      <c r="D73" s="9"/>
      <c r="E73" s="9"/>
      <c r="F73" s="9"/>
      <c r="G73" s="9">
        <v>800</v>
      </c>
      <c r="H73" s="9"/>
      <c r="I73" s="9">
        <v>5175</v>
      </c>
      <c r="J73" s="9">
        <v>200</v>
      </c>
      <c r="K73" s="9">
        <v>100</v>
      </c>
      <c r="L73" s="9">
        <v>450</v>
      </c>
      <c r="M73" s="9">
        <v>325</v>
      </c>
      <c r="N73" s="6"/>
      <c r="O73" s="7">
        <f t="shared" si="22"/>
        <v>9800</v>
      </c>
      <c r="P73" s="23">
        <v>15000</v>
      </c>
      <c r="Q73" s="54">
        <v>20000</v>
      </c>
      <c r="R73" s="7">
        <v>14950</v>
      </c>
      <c r="S73" s="61">
        <f t="shared" si="23"/>
        <v>5050</v>
      </c>
      <c r="T73" s="61">
        <v>16000</v>
      </c>
      <c r="U73" s="6"/>
      <c r="V73" s="78">
        <f t="shared" ref="V73:V86" si="24">SUM(R73+T73)/2</f>
        <v>15475</v>
      </c>
      <c r="X73" s="78">
        <v>15475</v>
      </c>
    </row>
    <row r="74" spans="1:24" ht="20.100000000000001" customHeight="1" x14ac:dyDescent="0.3">
      <c r="A74" s="8" t="s">
        <v>56</v>
      </c>
      <c r="B74" s="9">
        <v>429</v>
      </c>
      <c r="C74" s="9">
        <v>845</v>
      </c>
      <c r="D74" s="9">
        <v>91</v>
      </c>
      <c r="E74" s="9">
        <v>1248</v>
      </c>
      <c r="F74" s="9">
        <v>949</v>
      </c>
      <c r="G74" s="9">
        <v>2574</v>
      </c>
      <c r="H74" s="9">
        <v>767</v>
      </c>
      <c r="I74" s="9">
        <v>1118</v>
      </c>
      <c r="J74" s="9">
        <v>2678</v>
      </c>
      <c r="K74" s="9"/>
      <c r="L74" s="9">
        <v>5239</v>
      </c>
      <c r="M74" s="9">
        <v>2639</v>
      </c>
      <c r="N74" s="6"/>
      <c r="O74" s="7">
        <f t="shared" si="22"/>
        <v>18577</v>
      </c>
      <c r="P74" s="23">
        <v>4000</v>
      </c>
      <c r="Q74" s="54">
        <v>10000</v>
      </c>
      <c r="R74" s="7">
        <v>27538</v>
      </c>
      <c r="S74" s="61">
        <f t="shared" si="23"/>
        <v>-17538</v>
      </c>
      <c r="T74" s="61">
        <v>20244</v>
      </c>
      <c r="U74" s="6"/>
      <c r="V74" s="78">
        <v>20000</v>
      </c>
      <c r="X74" s="78">
        <f>20000+7186</f>
        <v>27186</v>
      </c>
    </row>
    <row r="75" spans="1:24" ht="20.100000000000001" customHeight="1" x14ac:dyDescent="0.3">
      <c r="A75" s="8" t="s">
        <v>160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6"/>
      <c r="O75" s="7"/>
      <c r="P75" s="23"/>
      <c r="Q75" s="54"/>
      <c r="R75" s="7"/>
      <c r="S75" s="61"/>
      <c r="T75" s="61"/>
      <c r="U75" s="6"/>
      <c r="V75" s="78"/>
      <c r="X75" s="78">
        <v>30161</v>
      </c>
    </row>
    <row r="76" spans="1:24" ht="20.100000000000001" customHeight="1" x14ac:dyDescent="0.3">
      <c r="A76" s="8" t="s">
        <v>57</v>
      </c>
      <c r="B76" s="9"/>
      <c r="C76" s="9">
        <v>88</v>
      </c>
      <c r="D76" s="9"/>
      <c r="E76" s="9"/>
      <c r="F76" s="9">
        <v>42</v>
      </c>
      <c r="G76" s="9">
        <v>3095</v>
      </c>
      <c r="H76" s="9">
        <v>4221</v>
      </c>
      <c r="I76" s="9"/>
      <c r="J76" s="9"/>
      <c r="K76" s="9"/>
      <c r="L76" s="9"/>
      <c r="M76" s="6"/>
      <c r="N76" s="6"/>
      <c r="O76" s="7">
        <f t="shared" si="22"/>
        <v>7446</v>
      </c>
      <c r="P76" s="23">
        <v>13500</v>
      </c>
      <c r="Q76" s="54">
        <v>3000</v>
      </c>
      <c r="R76" s="7">
        <v>3000</v>
      </c>
      <c r="S76" s="61">
        <f t="shared" si="23"/>
        <v>0</v>
      </c>
      <c r="T76" s="61">
        <v>4575</v>
      </c>
      <c r="U76" s="6"/>
      <c r="V76" s="78">
        <v>3500</v>
      </c>
      <c r="X76" s="78">
        <v>3500</v>
      </c>
    </row>
    <row r="77" spans="1:24" ht="20.100000000000001" customHeight="1" x14ac:dyDescent="0.3">
      <c r="A77" s="8" t="s">
        <v>161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6"/>
      <c r="N77" s="6"/>
      <c r="O77" s="7"/>
      <c r="P77" s="23"/>
      <c r="Q77" s="54"/>
      <c r="R77" s="7"/>
      <c r="S77" s="61"/>
      <c r="T77" s="61"/>
      <c r="U77" s="6"/>
      <c r="V77" s="78"/>
      <c r="X77" s="78">
        <v>50000</v>
      </c>
    </row>
    <row r="78" spans="1:24" ht="20.100000000000001" customHeight="1" x14ac:dyDescent="0.3">
      <c r="A78" s="8" t="s">
        <v>58</v>
      </c>
      <c r="B78" s="9"/>
      <c r="C78" s="9"/>
      <c r="D78" s="9"/>
      <c r="E78" s="9"/>
      <c r="F78" s="9"/>
      <c r="G78" s="9"/>
      <c r="H78" s="9">
        <v>91</v>
      </c>
      <c r="I78" s="9">
        <v>129</v>
      </c>
      <c r="J78" s="9">
        <v>534</v>
      </c>
      <c r="K78" s="9">
        <v>236</v>
      </c>
      <c r="L78" s="9">
        <v>127</v>
      </c>
      <c r="M78" s="9">
        <v>153</v>
      </c>
      <c r="N78" s="6"/>
      <c r="O78" s="7">
        <f t="shared" si="22"/>
        <v>1270</v>
      </c>
      <c r="P78" s="23">
        <v>0</v>
      </c>
      <c r="Q78" s="54">
        <v>2550</v>
      </c>
      <c r="R78" s="7">
        <f>7599+96</f>
        <v>7695</v>
      </c>
      <c r="S78" s="61">
        <f t="shared" si="23"/>
        <v>-5145</v>
      </c>
      <c r="T78" s="61">
        <v>70</v>
      </c>
      <c r="U78" s="6"/>
      <c r="V78" s="78">
        <v>21605</v>
      </c>
      <c r="X78" s="78">
        <v>21605</v>
      </c>
    </row>
    <row r="79" spans="1:24" ht="20.100000000000001" customHeight="1" x14ac:dyDescent="0.3">
      <c r="A79" s="8" t="s">
        <v>59</v>
      </c>
      <c r="B79" s="9">
        <v>159</v>
      </c>
      <c r="C79" s="9">
        <v>159</v>
      </c>
      <c r="D79" s="9">
        <v>159</v>
      </c>
      <c r="E79" s="9">
        <v>159</v>
      </c>
      <c r="F79" s="9">
        <v>159</v>
      </c>
      <c r="G79" s="9"/>
      <c r="H79" s="9">
        <v>159</v>
      </c>
      <c r="I79" s="9">
        <v>159</v>
      </c>
      <c r="J79" s="9">
        <v>1894</v>
      </c>
      <c r="K79" s="9">
        <v>770</v>
      </c>
      <c r="L79" s="9">
        <v>1420</v>
      </c>
      <c r="M79" s="9">
        <v>770</v>
      </c>
      <c r="N79" s="6"/>
      <c r="O79" s="7">
        <f t="shared" si="22"/>
        <v>5967</v>
      </c>
      <c r="P79" s="23">
        <v>1904</v>
      </c>
      <c r="Q79" s="54">
        <v>6000</v>
      </c>
      <c r="R79" s="7">
        <v>9005</v>
      </c>
      <c r="S79" s="61">
        <f t="shared" si="23"/>
        <v>-3005</v>
      </c>
      <c r="T79" s="61">
        <v>6700</v>
      </c>
      <c r="U79" s="6"/>
      <c r="V79" s="78">
        <v>6000</v>
      </c>
      <c r="X79" s="78">
        <v>6000</v>
      </c>
    </row>
    <row r="80" spans="1:24" ht="20.100000000000001" customHeight="1" x14ac:dyDescent="0.3">
      <c r="A80" s="8" t="s">
        <v>60</v>
      </c>
      <c r="B80" s="9">
        <v>1092</v>
      </c>
      <c r="C80" s="9">
        <v>810</v>
      </c>
      <c r="D80" s="9">
        <v>92</v>
      </c>
      <c r="E80" s="9"/>
      <c r="F80" s="9">
        <v>133</v>
      </c>
      <c r="G80" s="9">
        <v>601</v>
      </c>
      <c r="H80" s="9"/>
      <c r="I80" s="9"/>
      <c r="J80" s="9"/>
      <c r="K80" s="9"/>
      <c r="L80" s="9">
        <v>102</v>
      </c>
      <c r="M80" s="6"/>
      <c r="N80" s="6"/>
      <c r="O80" s="7">
        <f t="shared" si="22"/>
        <v>2830</v>
      </c>
      <c r="P80" s="23">
        <v>1000</v>
      </c>
      <c r="Q80" s="54">
        <v>1000</v>
      </c>
      <c r="R80" s="7">
        <v>1725</v>
      </c>
      <c r="S80" s="61">
        <f t="shared" si="23"/>
        <v>-725</v>
      </c>
      <c r="T80" s="61">
        <v>1250</v>
      </c>
      <c r="U80" s="6"/>
      <c r="V80" s="78">
        <v>1000</v>
      </c>
      <c r="X80" s="78">
        <v>1000</v>
      </c>
    </row>
    <row r="81" spans="1:24" ht="20.100000000000001" customHeight="1" x14ac:dyDescent="0.3">
      <c r="A81" s="8" t="s">
        <v>61</v>
      </c>
      <c r="B81" s="9">
        <v>256</v>
      </c>
      <c r="C81" s="9">
        <v>37</v>
      </c>
      <c r="D81" s="9">
        <v>37</v>
      </c>
      <c r="E81" s="9">
        <v>100</v>
      </c>
      <c r="F81" s="9"/>
      <c r="G81" s="9">
        <v>37</v>
      </c>
      <c r="H81" s="9">
        <v>37</v>
      </c>
      <c r="I81" s="9">
        <v>247</v>
      </c>
      <c r="J81" s="9">
        <v>515</v>
      </c>
      <c r="K81" s="9"/>
      <c r="L81" s="9">
        <v>37</v>
      </c>
      <c r="M81" s="9">
        <v>37</v>
      </c>
      <c r="N81" s="6"/>
      <c r="O81" s="7">
        <f t="shared" si="22"/>
        <v>1340</v>
      </c>
      <c r="P81" s="23">
        <v>1000</v>
      </c>
      <c r="Q81" s="54">
        <v>1000</v>
      </c>
      <c r="R81" s="7">
        <v>10874</v>
      </c>
      <c r="S81" s="61">
        <f t="shared" si="23"/>
        <v>-9874</v>
      </c>
      <c r="T81" s="61">
        <v>18794</v>
      </c>
      <c r="U81" s="6"/>
      <c r="V81" s="78">
        <v>2000</v>
      </c>
      <c r="X81" s="78">
        <v>2000</v>
      </c>
    </row>
    <row r="82" spans="1:24" ht="20.100000000000001" customHeight="1" x14ac:dyDescent="0.3">
      <c r="A82" s="8" t="s">
        <v>62</v>
      </c>
      <c r="B82" s="9"/>
      <c r="C82" s="9"/>
      <c r="D82" s="9"/>
      <c r="E82" s="9"/>
      <c r="F82" s="9">
        <v>142</v>
      </c>
      <c r="G82" s="9">
        <v>1970</v>
      </c>
      <c r="H82" s="9"/>
      <c r="I82" s="9"/>
      <c r="J82" s="9">
        <v>6820</v>
      </c>
      <c r="K82" s="9"/>
      <c r="L82" s="9"/>
      <c r="M82" s="6"/>
      <c r="N82" s="6"/>
      <c r="O82" s="7">
        <f t="shared" si="22"/>
        <v>8932</v>
      </c>
      <c r="P82" s="23">
        <v>6900</v>
      </c>
      <c r="Q82" s="54">
        <v>9379</v>
      </c>
      <c r="R82" s="7">
        <v>6721</v>
      </c>
      <c r="S82" s="61">
        <f t="shared" si="23"/>
        <v>2658</v>
      </c>
      <c r="T82" s="61">
        <v>17990</v>
      </c>
      <c r="U82" s="6"/>
      <c r="V82" s="78">
        <v>9000</v>
      </c>
      <c r="X82" s="78">
        <v>9000</v>
      </c>
    </row>
    <row r="83" spans="1:24" ht="20.100000000000001" customHeight="1" x14ac:dyDescent="0.3">
      <c r="A83" s="8" t="s">
        <v>63</v>
      </c>
      <c r="B83" s="9">
        <v>579</v>
      </c>
      <c r="C83" s="9">
        <v>576</v>
      </c>
      <c r="D83" s="9">
        <v>572</v>
      </c>
      <c r="E83" s="9">
        <v>574</v>
      </c>
      <c r="F83" s="9">
        <v>-3</v>
      </c>
      <c r="G83" s="9">
        <v>575</v>
      </c>
      <c r="H83" s="9">
        <v>580</v>
      </c>
      <c r="I83" s="9">
        <v>572</v>
      </c>
      <c r="J83" s="9">
        <v>565</v>
      </c>
      <c r="K83" s="9">
        <v>540</v>
      </c>
      <c r="L83" s="9">
        <v>557</v>
      </c>
      <c r="M83" s="9">
        <v>563</v>
      </c>
      <c r="N83" s="6"/>
      <c r="O83" s="7">
        <f t="shared" si="22"/>
        <v>6250</v>
      </c>
      <c r="P83" s="23">
        <v>7000</v>
      </c>
      <c r="Q83" s="54">
        <v>6780</v>
      </c>
      <c r="R83" s="7">
        <v>7312</v>
      </c>
      <c r="S83" s="61">
        <f t="shared" si="23"/>
        <v>-532</v>
      </c>
      <c r="T83" s="61">
        <v>7310</v>
      </c>
      <c r="U83" s="6"/>
      <c r="V83" s="78">
        <v>8000</v>
      </c>
      <c r="X83" s="78">
        <v>8000</v>
      </c>
    </row>
    <row r="84" spans="1:24" ht="20.100000000000001" customHeight="1" x14ac:dyDescent="0.3">
      <c r="A84" s="8" t="s">
        <v>64</v>
      </c>
      <c r="B84" s="9"/>
      <c r="C84" s="9">
        <v>460</v>
      </c>
      <c r="D84" s="9">
        <v>347</v>
      </c>
      <c r="E84" s="9">
        <v>264</v>
      </c>
      <c r="F84" s="9">
        <v>-161</v>
      </c>
      <c r="G84" s="9"/>
      <c r="H84" s="9">
        <v>627</v>
      </c>
      <c r="I84" s="9">
        <v>979</v>
      </c>
      <c r="J84" s="9"/>
      <c r="K84" s="9"/>
      <c r="L84" s="9">
        <v>196</v>
      </c>
      <c r="M84" s="6"/>
      <c r="N84" s="6"/>
      <c r="O84" s="7">
        <f t="shared" si="22"/>
        <v>2712</v>
      </c>
      <c r="P84" s="23">
        <v>1000</v>
      </c>
      <c r="Q84" s="54">
        <v>1500</v>
      </c>
      <c r="R84" s="7">
        <v>1955</v>
      </c>
      <c r="S84" s="61">
        <f t="shared" si="23"/>
        <v>-455</v>
      </c>
      <c r="T84" s="61">
        <v>279</v>
      </c>
      <c r="U84" s="6"/>
      <c r="V84" s="78">
        <v>2000</v>
      </c>
      <c r="X84" s="78">
        <v>2000</v>
      </c>
    </row>
    <row r="85" spans="1:24" ht="20.100000000000001" customHeight="1" x14ac:dyDescent="0.3">
      <c r="A85" s="8" t="s">
        <v>144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6"/>
      <c r="N85" s="6"/>
      <c r="O85" s="7"/>
      <c r="P85" s="23"/>
      <c r="Q85" s="54"/>
      <c r="R85" s="7">
        <v>328</v>
      </c>
      <c r="S85" s="61">
        <f t="shared" si="23"/>
        <v>-328</v>
      </c>
      <c r="T85" s="61"/>
      <c r="U85" s="6"/>
      <c r="V85" s="78">
        <v>175</v>
      </c>
      <c r="X85" s="78">
        <v>175</v>
      </c>
    </row>
    <row r="86" spans="1:24" ht="20.100000000000001" customHeight="1" x14ac:dyDescent="0.3">
      <c r="A86" s="8" t="s">
        <v>65</v>
      </c>
      <c r="B86" s="9"/>
      <c r="C86" s="9"/>
      <c r="D86" s="9"/>
      <c r="E86" s="9"/>
      <c r="F86" s="9"/>
      <c r="G86" s="9"/>
      <c r="H86" s="9">
        <v>72</v>
      </c>
      <c r="I86" s="9">
        <v>62</v>
      </c>
      <c r="J86" s="9">
        <v>12</v>
      </c>
      <c r="K86" s="9">
        <v>12</v>
      </c>
      <c r="L86" s="9"/>
      <c r="M86" s="6"/>
      <c r="N86" s="6"/>
      <c r="O86" s="7">
        <f t="shared" si="22"/>
        <v>158</v>
      </c>
      <c r="P86" s="23">
        <v>500</v>
      </c>
      <c r="Q86" s="54">
        <v>500</v>
      </c>
      <c r="R86" s="7">
        <v>386</v>
      </c>
      <c r="S86" s="61">
        <f t="shared" si="23"/>
        <v>114</v>
      </c>
      <c r="T86" s="61">
        <v>716</v>
      </c>
      <c r="U86" s="6"/>
      <c r="V86" s="78">
        <f t="shared" si="24"/>
        <v>551</v>
      </c>
      <c r="X86" s="78">
        <v>551</v>
      </c>
    </row>
    <row r="87" spans="1:24" ht="20.100000000000001" customHeight="1" x14ac:dyDescent="0.3">
      <c r="A87" s="8" t="s">
        <v>66</v>
      </c>
      <c r="B87" s="9"/>
      <c r="C87" s="9"/>
      <c r="D87" s="9">
        <v>47</v>
      </c>
      <c r="E87" s="9"/>
      <c r="F87" s="9">
        <v>662</v>
      </c>
      <c r="G87" s="9">
        <v>427</v>
      </c>
      <c r="H87" s="9"/>
      <c r="I87" s="9">
        <v>525</v>
      </c>
      <c r="J87" s="9"/>
      <c r="K87" s="9">
        <v>50</v>
      </c>
      <c r="L87" s="9"/>
      <c r="M87" s="6"/>
      <c r="N87" s="6"/>
      <c r="O87" s="7">
        <f t="shared" si="22"/>
        <v>1711</v>
      </c>
      <c r="P87" s="23">
        <v>900</v>
      </c>
      <c r="Q87" s="54">
        <v>1250</v>
      </c>
      <c r="R87" s="7">
        <v>1121</v>
      </c>
      <c r="S87" s="61">
        <f t="shared" si="23"/>
        <v>129</v>
      </c>
      <c r="T87" s="61">
        <v>508</v>
      </c>
      <c r="U87" s="6"/>
      <c r="V87" s="78">
        <v>1175</v>
      </c>
      <c r="X87" s="78">
        <v>1175</v>
      </c>
    </row>
    <row r="88" spans="1:24" ht="20.100000000000001" customHeight="1" x14ac:dyDescent="0.3">
      <c r="A88" s="8" t="s">
        <v>67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>
        <v>225</v>
      </c>
      <c r="M88" s="6"/>
      <c r="N88" s="6"/>
      <c r="O88" s="7">
        <f t="shared" si="22"/>
        <v>225</v>
      </c>
      <c r="P88" s="23">
        <v>500</v>
      </c>
      <c r="Q88" s="54">
        <v>500</v>
      </c>
      <c r="R88" s="7">
        <v>815</v>
      </c>
      <c r="S88" s="61">
        <f t="shared" si="23"/>
        <v>-315</v>
      </c>
      <c r="T88" s="61">
        <v>500</v>
      </c>
      <c r="U88" s="6"/>
      <c r="V88" s="78">
        <v>700</v>
      </c>
      <c r="X88" s="78">
        <v>700</v>
      </c>
    </row>
    <row r="89" spans="1:24" ht="20.100000000000001" customHeight="1" x14ac:dyDescent="0.3">
      <c r="A89" s="8" t="s">
        <v>68</v>
      </c>
      <c r="B89" s="9">
        <v>476</v>
      </c>
      <c r="C89" s="9">
        <v>31</v>
      </c>
      <c r="D89" s="9">
        <v>1551</v>
      </c>
      <c r="E89" s="9">
        <v>438</v>
      </c>
      <c r="F89" s="9">
        <v>658</v>
      </c>
      <c r="G89" s="9">
        <v>279</v>
      </c>
      <c r="H89" s="9">
        <v>325</v>
      </c>
      <c r="I89" s="9">
        <v>835</v>
      </c>
      <c r="J89" s="9">
        <v>1503</v>
      </c>
      <c r="K89" s="9">
        <v>1747</v>
      </c>
      <c r="L89" s="9">
        <v>911</v>
      </c>
      <c r="M89" s="9">
        <v>895</v>
      </c>
      <c r="N89" s="6"/>
      <c r="O89" s="7">
        <f t="shared" si="22"/>
        <v>9649</v>
      </c>
      <c r="P89" s="23">
        <v>4500</v>
      </c>
      <c r="Q89" s="54">
        <v>7000</v>
      </c>
      <c r="R89" s="7">
        <v>15208</v>
      </c>
      <c r="S89" s="61">
        <f t="shared" si="23"/>
        <v>-8208</v>
      </c>
      <c r="T89" s="61">
        <v>10035</v>
      </c>
      <c r="U89" s="6"/>
      <c r="V89" s="78">
        <v>7500</v>
      </c>
      <c r="X89" s="78">
        <v>7500</v>
      </c>
    </row>
    <row r="90" spans="1:24" ht="20.100000000000001" customHeight="1" x14ac:dyDescent="0.3">
      <c r="A90" s="8" t="s">
        <v>69</v>
      </c>
      <c r="B90" s="9">
        <v>520</v>
      </c>
      <c r="C90" s="9">
        <v>598</v>
      </c>
      <c r="D90" s="9">
        <v>538</v>
      </c>
      <c r="E90" s="9">
        <v>393</v>
      </c>
      <c r="F90" s="9">
        <v>-50</v>
      </c>
      <c r="G90" s="9">
        <v>463</v>
      </c>
      <c r="H90" s="9">
        <v>708</v>
      </c>
      <c r="I90" s="9">
        <v>359</v>
      </c>
      <c r="J90" s="9">
        <v>3824</v>
      </c>
      <c r="K90" s="9">
        <v>-223</v>
      </c>
      <c r="L90" s="9">
        <v>1213</v>
      </c>
      <c r="M90" s="9">
        <v>2844</v>
      </c>
      <c r="N90" s="6"/>
      <c r="O90" s="7">
        <f t="shared" si="22"/>
        <v>11187</v>
      </c>
      <c r="P90" s="23">
        <v>6000</v>
      </c>
      <c r="Q90" s="54">
        <v>14000</v>
      </c>
      <c r="R90" s="7">
        <v>19374</v>
      </c>
      <c r="S90" s="61">
        <f t="shared" si="23"/>
        <v>-5374</v>
      </c>
      <c r="T90" s="61">
        <v>16113</v>
      </c>
      <c r="U90" s="6"/>
      <c r="V90" s="78">
        <v>17000</v>
      </c>
      <c r="X90" s="78">
        <v>17000</v>
      </c>
    </row>
    <row r="91" spans="1:24" ht="20.100000000000001" customHeight="1" x14ac:dyDescent="0.3">
      <c r="A91" s="8" t="s">
        <v>70</v>
      </c>
      <c r="B91" s="9">
        <v>231</v>
      </c>
      <c r="C91" s="9">
        <v>238</v>
      </c>
      <c r="D91" s="9">
        <v>217</v>
      </c>
      <c r="E91" s="9">
        <v>225</v>
      </c>
      <c r="F91" s="9">
        <v>453</v>
      </c>
      <c r="G91" s="9"/>
      <c r="H91" s="9">
        <v>215</v>
      </c>
      <c r="I91" s="9">
        <v>270</v>
      </c>
      <c r="J91" s="9">
        <v>274</v>
      </c>
      <c r="K91" s="9">
        <v>274</v>
      </c>
      <c r="L91" s="9">
        <v>267</v>
      </c>
      <c r="M91" s="9">
        <v>266</v>
      </c>
      <c r="N91" s="6"/>
      <c r="O91" s="7">
        <f t="shared" si="22"/>
        <v>2930</v>
      </c>
      <c r="P91" s="23">
        <v>3000</v>
      </c>
      <c r="Q91" s="54">
        <v>2700</v>
      </c>
      <c r="R91" s="7">
        <v>3295</v>
      </c>
      <c r="S91" s="61">
        <f t="shared" si="23"/>
        <v>-595</v>
      </c>
      <c r="T91" s="61">
        <v>2871</v>
      </c>
      <c r="U91" s="6"/>
      <c r="V91" s="78">
        <v>3200</v>
      </c>
      <c r="X91" s="78">
        <v>3200</v>
      </c>
    </row>
    <row r="92" spans="1:24" ht="20.100000000000001" customHeight="1" x14ac:dyDescent="0.3">
      <c r="A92" s="8" t="s">
        <v>72</v>
      </c>
      <c r="B92" s="9">
        <v>271</v>
      </c>
      <c r="C92" s="9">
        <v>32</v>
      </c>
      <c r="D92" s="9">
        <v>19</v>
      </c>
      <c r="E92" s="9">
        <v>25</v>
      </c>
      <c r="F92" s="9">
        <v>11</v>
      </c>
      <c r="G92" s="9">
        <v>11</v>
      </c>
      <c r="H92" s="9">
        <v>5</v>
      </c>
      <c r="I92" s="9">
        <v>8</v>
      </c>
      <c r="J92" s="9">
        <v>65</v>
      </c>
      <c r="K92" s="9">
        <v>47</v>
      </c>
      <c r="L92" s="9">
        <v>16</v>
      </c>
      <c r="M92" s="6"/>
      <c r="N92" s="6"/>
      <c r="O92" s="7">
        <f t="shared" si="22"/>
        <v>510</v>
      </c>
      <c r="P92" s="23">
        <v>1500</v>
      </c>
      <c r="Q92" s="54">
        <v>1000</v>
      </c>
      <c r="R92" s="7">
        <v>747</v>
      </c>
      <c r="S92" s="61">
        <f t="shared" si="23"/>
        <v>253</v>
      </c>
      <c r="T92" s="61">
        <v>731</v>
      </c>
      <c r="U92" s="6"/>
      <c r="V92" s="78">
        <v>700</v>
      </c>
      <c r="X92" s="78">
        <v>700</v>
      </c>
    </row>
    <row r="93" spans="1:24" ht="20.100000000000001" customHeight="1" x14ac:dyDescent="0.3">
      <c r="A93" s="8" t="s">
        <v>154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6"/>
      <c r="N93" s="6"/>
      <c r="O93" s="7"/>
      <c r="P93" s="23"/>
      <c r="Q93" s="54"/>
      <c r="R93" s="7"/>
      <c r="S93" s="61"/>
      <c r="T93" s="61"/>
      <c r="U93" s="6"/>
      <c r="V93" s="78"/>
      <c r="X93" s="78">
        <v>22450</v>
      </c>
    </row>
    <row r="94" spans="1:24" ht="20.100000000000001" customHeight="1" x14ac:dyDescent="0.3">
      <c r="A94" s="10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6"/>
      <c r="N94" s="6"/>
      <c r="O94" s="6"/>
      <c r="P94" s="7"/>
      <c r="Q94" s="7"/>
      <c r="R94" s="7"/>
      <c r="S94" s="61"/>
      <c r="T94" s="61"/>
      <c r="U94" s="6"/>
      <c r="V94" s="7"/>
      <c r="X94" s="7"/>
    </row>
    <row r="95" spans="1:24" s="76" customFormat="1" ht="20.100000000000001" customHeight="1" x14ac:dyDescent="0.3">
      <c r="A95" s="70" t="s">
        <v>115</v>
      </c>
      <c r="B95" s="33">
        <f t="shared" ref="B95:O95" si="25">SUM(B68:B92)</f>
        <v>12202</v>
      </c>
      <c r="C95" s="33">
        <f t="shared" si="25"/>
        <v>7929</v>
      </c>
      <c r="D95" s="33">
        <f t="shared" si="25"/>
        <v>8130</v>
      </c>
      <c r="E95" s="33">
        <f t="shared" si="25"/>
        <v>7559</v>
      </c>
      <c r="F95" s="33">
        <f t="shared" si="25"/>
        <v>7516</v>
      </c>
      <c r="G95" s="33">
        <f t="shared" si="25"/>
        <v>14879</v>
      </c>
      <c r="H95" s="33">
        <f t="shared" si="25"/>
        <v>11343</v>
      </c>
      <c r="I95" s="33">
        <f t="shared" si="25"/>
        <v>15653</v>
      </c>
      <c r="J95" s="33">
        <f t="shared" si="25"/>
        <v>25140</v>
      </c>
      <c r="K95" s="33">
        <f t="shared" si="25"/>
        <v>9017</v>
      </c>
      <c r="L95" s="33">
        <f t="shared" si="25"/>
        <v>15862</v>
      </c>
      <c r="M95" s="33">
        <f t="shared" si="25"/>
        <v>15092</v>
      </c>
      <c r="N95" s="33">
        <f t="shared" si="25"/>
        <v>0</v>
      </c>
      <c r="O95" s="71">
        <f t="shared" si="25"/>
        <v>150322</v>
      </c>
      <c r="P95" s="72">
        <f>SUM(P68:P94)</f>
        <v>140391</v>
      </c>
      <c r="Q95" s="73">
        <f>SUM(Q68:Q94)</f>
        <v>167221</v>
      </c>
      <c r="R95" s="74">
        <f>SUM(R68:R94)</f>
        <v>215113</v>
      </c>
      <c r="S95" s="75">
        <f>SUM(S68:S94)</f>
        <v>-47892</v>
      </c>
      <c r="T95" s="75">
        <f>SUM(T68:T94)</f>
        <v>212309</v>
      </c>
      <c r="U95" s="71"/>
      <c r="V95" s="82">
        <f>SUM(V68:V94)</f>
        <v>202423</v>
      </c>
      <c r="X95" s="82">
        <f>SUM(X68:X94)</f>
        <v>318148</v>
      </c>
    </row>
    <row r="96" spans="1:24" ht="20.100000000000001" customHeight="1" x14ac:dyDescent="0.3">
      <c r="A96" s="6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6"/>
      <c r="N96" s="6"/>
      <c r="O96" s="6"/>
      <c r="P96" s="7"/>
      <c r="Q96" s="7"/>
      <c r="R96" s="7"/>
      <c r="S96" s="7"/>
      <c r="T96" s="7"/>
      <c r="U96" s="6"/>
      <c r="V96" s="7"/>
      <c r="X96" s="7"/>
    </row>
    <row r="97" spans="1:24" s="44" customFormat="1" ht="20.100000000000001" customHeight="1" x14ac:dyDescent="0.3">
      <c r="A97" s="45" t="s">
        <v>116</v>
      </c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7"/>
      <c r="N97" s="47"/>
      <c r="O97" s="47"/>
      <c r="P97" s="46"/>
      <c r="Q97" s="46"/>
      <c r="R97" s="46"/>
      <c r="S97" s="46"/>
      <c r="T97" s="46"/>
      <c r="U97" s="47"/>
      <c r="V97" s="46"/>
      <c r="X97" s="46"/>
    </row>
    <row r="98" spans="1:24" ht="20.100000000000001" customHeight="1" x14ac:dyDescent="0.3">
      <c r="A98" s="8" t="s">
        <v>50</v>
      </c>
      <c r="B98" s="9">
        <v>10237</v>
      </c>
      <c r="C98" s="9">
        <v>8908</v>
      </c>
      <c r="D98" s="9">
        <v>10469</v>
      </c>
      <c r="E98" s="9">
        <v>9281</v>
      </c>
      <c r="F98" s="9">
        <v>11865</v>
      </c>
      <c r="G98" s="9">
        <v>12164</v>
      </c>
      <c r="H98" s="9">
        <v>6619</v>
      </c>
      <c r="I98" s="9">
        <v>4098</v>
      </c>
      <c r="J98" s="9">
        <v>11765</v>
      </c>
      <c r="K98" s="9">
        <v>8590</v>
      </c>
      <c r="L98" s="9">
        <v>7877</v>
      </c>
      <c r="M98" s="9">
        <v>11576</v>
      </c>
      <c r="N98" s="6"/>
      <c r="O98" s="7">
        <f t="shared" ref="O98:O116" si="26">SUM(B98:N98)</f>
        <v>113449</v>
      </c>
      <c r="P98" s="23">
        <v>122187</v>
      </c>
      <c r="Q98" s="54">
        <v>136032</v>
      </c>
      <c r="R98" s="7">
        <v>141024</v>
      </c>
      <c r="S98" s="61">
        <f>Q98-R98</f>
        <v>-4992</v>
      </c>
      <c r="T98" s="61">
        <v>141024</v>
      </c>
      <c r="U98" s="6"/>
      <c r="V98" s="78">
        <v>154856</v>
      </c>
      <c r="X98" s="78">
        <v>154856</v>
      </c>
    </row>
    <row r="99" spans="1:24" ht="20.100000000000001" customHeight="1" x14ac:dyDescent="0.3">
      <c r="A99" s="8" t="s">
        <v>51</v>
      </c>
      <c r="B99" s="9">
        <v>783</v>
      </c>
      <c r="C99" s="9">
        <v>681</v>
      </c>
      <c r="D99" s="9">
        <v>801</v>
      </c>
      <c r="E99" s="9">
        <v>710</v>
      </c>
      <c r="F99" s="9">
        <v>908</v>
      </c>
      <c r="G99" s="9"/>
      <c r="H99" s="9">
        <v>932</v>
      </c>
      <c r="I99" s="9">
        <v>1719</v>
      </c>
      <c r="J99" s="9">
        <v>314</v>
      </c>
      <c r="K99" s="9">
        <v>900</v>
      </c>
      <c r="L99" s="9">
        <v>657</v>
      </c>
      <c r="M99" s="6"/>
      <c r="N99" s="6"/>
      <c r="O99" s="7">
        <f t="shared" si="26"/>
        <v>8405</v>
      </c>
      <c r="P99" s="23">
        <v>9347</v>
      </c>
      <c r="Q99" s="54">
        <f>Q98*0.0765</f>
        <v>10406.448</v>
      </c>
      <c r="R99" s="7">
        <v>10788</v>
      </c>
      <c r="S99" s="61">
        <f t="shared" ref="S99:S116" si="27">Q99-R99</f>
        <v>-381.55199999999968</v>
      </c>
      <c r="T99" s="61">
        <v>10788</v>
      </c>
      <c r="U99" s="6"/>
      <c r="V99" s="78">
        <v>11846</v>
      </c>
      <c r="X99" s="78">
        <v>11846</v>
      </c>
    </row>
    <row r="100" spans="1:24" ht="20.100000000000001" customHeight="1" x14ac:dyDescent="0.3">
      <c r="A100" s="8" t="s">
        <v>73</v>
      </c>
      <c r="B100" s="9"/>
      <c r="C100" s="9"/>
      <c r="D100" s="9"/>
      <c r="E100" s="9"/>
      <c r="F100" s="9"/>
      <c r="G100" s="9"/>
      <c r="H100" s="9"/>
      <c r="I100" s="9">
        <v>3906</v>
      </c>
      <c r="J100" s="9"/>
      <c r="K100" s="9"/>
      <c r="L100" s="9"/>
      <c r="M100" s="6"/>
      <c r="N100" s="6"/>
      <c r="O100" s="7">
        <f t="shared" si="26"/>
        <v>3906</v>
      </c>
      <c r="P100" s="23">
        <v>4500</v>
      </c>
      <c r="Q100" s="54">
        <v>4000</v>
      </c>
      <c r="R100" s="7">
        <v>7313</v>
      </c>
      <c r="S100" s="61">
        <f t="shared" si="27"/>
        <v>-3313</v>
      </c>
      <c r="T100" s="61">
        <v>15492</v>
      </c>
      <c r="U100" s="6"/>
      <c r="V100" s="78">
        <v>8000</v>
      </c>
      <c r="X100" s="78">
        <v>8000</v>
      </c>
    </row>
    <row r="101" spans="1:24" ht="20.100000000000001" customHeight="1" x14ac:dyDescent="0.3">
      <c r="A101" s="8" t="s">
        <v>75</v>
      </c>
      <c r="B101" s="9"/>
      <c r="C101" s="9"/>
      <c r="D101" s="9"/>
      <c r="E101" s="9"/>
      <c r="F101" s="9"/>
      <c r="G101" s="9"/>
      <c r="H101" s="9"/>
      <c r="I101" s="9"/>
      <c r="J101" s="9">
        <v>44</v>
      </c>
      <c r="K101" s="9"/>
      <c r="L101" s="9"/>
      <c r="M101" s="6"/>
      <c r="N101" s="6"/>
      <c r="O101" s="7">
        <f t="shared" si="26"/>
        <v>44</v>
      </c>
      <c r="P101" s="23">
        <v>0</v>
      </c>
      <c r="Q101" s="54">
        <v>0</v>
      </c>
      <c r="R101" s="7">
        <f>114+58</f>
        <v>172</v>
      </c>
      <c r="S101" s="61">
        <f t="shared" si="27"/>
        <v>-172</v>
      </c>
      <c r="T101" s="61">
        <v>180</v>
      </c>
      <c r="U101" s="6"/>
      <c r="V101" s="78">
        <v>100</v>
      </c>
      <c r="X101" s="78">
        <v>100</v>
      </c>
    </row>
    <row r="102" spans="1:24" ht="20.100000000000001" customHeight="1" x14ac:dyDescent="0.3">
      <c r="A102" s="8" t="s">
        <v>56</v>
      </c>
      <c r="B102" s="9"/>
      <c r="C102" s="9"/>
      <c r="D102" s="9"/>
      <c r="E102" s="9">
        <v>4091</v>
      </c>
      <c r="F102" s="9"/>
      <c r="G102" s="9"/>
      <c r="H102" s="9"/>
      <c r="I102" s="9"/>
      <c r="J102" s="9"/>
      <c r="K102" s="9"/>
      <c r="L102" s="9">
        <v>1740</v>
      </c>
      <c r="M102" s="6"/>
      <c r="N102" s="6"/>
      <c r="O102" s="7">
        <f t="shared" si="26"/>
        <v>5831</v>
      </c>
      <c r="P102" s="23">
        <v>6000</v>
      </c>
      <c r="Q102" s="54">
        <v>6000</v>
      </c>
      <c r="R102" s="7">
        <v>5655</v>
      </c>
      <c r="S102" s="61">
        <f t="shared" si="27"/>
        <v>345</v>
      </c>
      <c r="T102" s="61">
        <v>6090</v>
      </c>
      <c r="U102" s="6"/>
      <c r="V102" s="78">
        <v>5875</v>
      </c>
      <c r="X102" s="78">
        <v>5875</v>
      </c>
    </row>
    <row r="103" spans="1:24" ht="20.100000000000001" customHeight="1" x14ac:dyDescent="0.3">
      <c r="A103" s="8" t="s">
        <v>76</v>
      </c>
      <c r="B103" s="9"/>
      <c r="C103" s="9"/>
      <c r="D103" s="9">
        <v>369</v>
      </c>
      <c r="E103" s="9"/>
      <c r="F103" s="9">
        <v>870</v>
      </c>
      <c r="G103" s="9"/>
      <c r="H103" s="9"/>
      <c r="I103" s="9">
        <v>150</v>
      </c>
      <c r="J103" s="9">
        <v>1160</v>
      </c>
      <c r="K103" s="9">
        <v>80</v>
      </c>
      <c r="L103" s="9">
        <v>80</v>
      </c>
      <c r="M103" s="9">
        <v>585</v>
      </c>
      <c r="N103" s="6"/>
      <c r="O103" s="7">
        <f t="shared" si="26"/>
        <v>3294</v>
      </c>
      <c r="P103" s="23">
        <v>750</v>
      </c>
      <c r="Q103" s="54">
        <v>2000</v>
      </c>
      <c r="R103" s="7">
        <f>889+156</f>
        <v>1045</v>
      </c>
      <c r="S103" s="61">
        <f t="shared" si="27"/>
        <v>955</v>
      </c>
      <c r="T103" s="61">
        <v>0</v>
      </c>
      <c r="U103" s="6"/>
      <c r="V103" s="78">
        <v>1000</v>
      </c>
      <c r="X103" s="78">
        <v>1000</v>
      </c>
    </row>
    <row r="104" spans="1:24" ht="20.100000000000001" customHeight="1" x14ac:dyDescent="0.3">
      <c r="A104" s="8" t="s">
        <v>149</v>
      </c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6"/>
      <c r="O104" s="7"/>
      <c r="P104" s="23"/>
      <c r="Q104" s="54"/>
      <c r="R104" s="7"/>
      <c r="S104" s="61"/>
      <c r="T104" s="61">
        <v>312</v>
      </c>
      <c r="U104" s="6"/>
      <c r="V104" s="78">
        <v>100</v>
      </c>
      <c r="X104" s="78">
        <v>100</v>
      </c>
    </row>
    <row r="105" spans="1:24" ht="20.100000000000001" customHeight="1" x14ac:dyDescent="0.3">
      <c r="A105" s="8" t="s">
        <v>77</v>
      </c>
      <c r="B105" s="9"/>
      <c r="C105" s="9">
        <v>242</v>
      </c>
      <c r="D105" s="9"/>
      <c r="E105" s="9"/>
      <c r="F105" s="9">
        <v>-7</v>
      </c>
      <c r="G105" s="9"/>
      <c r="H105" s="9"/>
      <c r="I105" s="9">
        <v>44</v>
      </c>
      <c r="J105" s="9">
        <v>53</v>
      </c>
      <c r="K105" s="9"/>
      <c r="L105" s="9">
        <v>58</v>
      </c>
      <c r="M105" s="9">
        <v>102</v>
      </c>
      <c r="N105" s="6"/>
      <c r="O105" s="7">
        <f t="shared" si="26"/>
        <v>492</v>
      </c>
      <c r="P105" s="23">
        <v>1000</v>
      </c>
      <c r="Q105" s="54">
        <v>2000</v>
      </c>
      <c r="R105" s="7">
        <v>1484</v>
      </c>
      <c r="S105" s="61">
        <f t="shared" si="27"/>
        <v>516</v>
      </c>
      <c r="T105" s="61">
        <v>1272</v>
      </c>
      <c r="U105" s="6"/>
      <c r="V105" s="78">
        <v>1500</v>
      </c>
      <c r="X105" s="78">
        <v>1500</v>
      </c>
    </row>
    <row r="106" spans="1:24" ht="20.100000000000001" customHeight="1" x14ac:dyDescent="0.3">
      <c r="A106" s="8" t="s">
        <v>62</v>
      </c>
      <c r="B106" s="9"/>
      <c r="C106" s="9"/>
      <c r="D106" s="9"/>
      <c r="E106" s="9"/>
      <c r="F106" s="9">
        <v>125</v>
      </c>
      <c r="G106" s="9">
        <v>1532</v>
      </c>
      <c r="H106" s="9"/>
      <c r="I106" s="9"/>
      <c r="J106" s="9">
        <v>5305</v>
      </c>
      <c r="K106" s="9"/>
      <c r="L106" s="9"/>
      <c r="M106" s="6">
        <v>1000</v>
      </c>
      <c r="N106" s="6"/>
      <c r="O106" s="7">
        <f t="shared" si="26"/>
        <v>7962</v>
      </c>
      <c r="P106" s="23">
        <v>4596</v>
      </c>
      <c r="Q106" s="54">
        <v>7800</v>
      </c>
      <c r="R106" s="7">
        <v>7642</v>
      </c>
      <c r="S106" s="61">
        <f t="shared" si="27"/>
        <v>158</v>
      </c>
      <c r="T106" s="61">
        <v>7800</v>
      </c>
      <c r="U106" s="6"/>
      <c r="V106" s="78">
        <v>7700</v>
      </c>
      <c r="X106" s="78">
        <v>7700</v>
      </c>
    </row>
    <row r="107" spans="1:24" ht="20.100000000000001" customHeight="1" x14ac:dyDescent="0.3">
      <c r="A107" s="8" t="s">
        <v>63</v>
      </c>
      <c r="B107" s="9">
        <v>204</v>
      </c>
      <c r="C107" s="9">
        <v>168</v>
      </c>
      <c r="D107" s="9">
        <v>173</v>
      </c>
      <c r="E107" s="9">
        <v>173</v>
      </c>
      <c r="F107" s="9">
        <v>-248</v>
      </c>
      <c r="G107" s="9">
        <v>287</v>
      </c>
      <c r="H107" s="9">
        <v>197</v>
      </c>
      <c r="I107" s="9">
        <v>197</v>
      </c>
      <c r="J107" s="9">
        <v>197</v>
      </c>
      <c r="K107" s="9">
        <v>475</v>
      </c>
      <c r="L107" s="9">
        <v>192</v>
      </c>
      <c r="M107" s="9">
        <v>318</v>
      </c>
      <c r="N107" s="6"/>
      <c r="O107" s="7">
        <f t="shared" si="26"/>
        <v>2333</v>
      </c>
      <c r="P107" s="23">
        <v>2250</v>
      </c>
      <c r="Q107" s="54">
        <v>2365</v>
      </c>
      <c r="R107" s="7">
        <v>3536</v>
      </c>
      <c r="S107" s="61">
        <f t="shared" si="27"/>
        <v>-1171</v>
      </c>
      <c r="T107" s="61">
        <v>3040</v>
      </c>
      <c r="U107" s="6"/>
      <c r="V107" s="78">
        <v>3500</v>
      </c>
      <c r="X107" s="78">
        <v>3500</v>
      </c>
    </row>
    <row r="108" spans="1:24" ht="20.100000000000001" customHeight="1" x14ac:dyDescent="0.3">
      <c r="A108" s="8" t="s">
        <v>64</v>
      </c>
      <c r="B108" s="9"/>
      <c r="C108" s="9"/>
      <c r="D108" s="9"/>
      <c r="E108" s="9"/>
      <c r="F108" s="9">
        <v>553</v>
      </c>
      <c r="G108" s="9"/>
      <c r="H108" s="9"/>
      <c r="I108" s="9"/>
      <c r="J108" s="9">
        <v>762</v>
      </c>
      <c r="K108" s="9"/>
      <c r="L108" s="9"/>
      <c r="M108" s="6"/>
      <c r="N108" s="6"/>
      <c r="O108" s="7">
        <f t="shared" si="26"/>
        <v>1315</v>
      </c>
      <c r="P108" s="23">
        <v>150</v>
      </c>
      <c r="Q108" s="54">
        <v>300</v>
      </c>
      <c r="R108" s="7">
        <v>181</v>
      </c>
      <c r="S108" s="61">
        <f t="shared" si="27"/>
        <v>119</v>
      </c>
      <c r="T108" s="61">
        <v>0</v>
      </c>
      <c r="U108" s="6"/>
      <c r="V108" s="78">
        <v>100</v>
      </c>
      <c r="X108" s="78">
        <v>100</v>
      </c>
    </row>
    <row r="109" spans="1:24" ht="20.100000000000001" customHeight="1" x14ac:dyDescent="0.3">
      <c r="A109" s="8" t="s">
        <v>65</v>
      </c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6"/>
      <c r="N109" s="6"/>
      <c r="O109" s="7">
        <f t="shared" si="26"/>
        <v>0</v>
      </c>
      <c r="P109" s="23">
        <v>250</v>
      </c>
      <c r="Q109" s="54">
        <v>250</v>
      </c>
      <c r="R109" s="7">
        <v>1731</v>
      </c>
      <c r="S109" s="61">
        <f t="shared" si="27"/>
        <v>-1481</v>
      </c>
      <c r="T109" s="61">
        <v>117</v>
      </c>
      <c r="U109" s="6"/>
      <c r="V109" s="78">
        <v>500</v>
      </c>
      <c r="X109" s="78">
        <v>500</v>
      </c>
    </row>
    <row r="110" spans="1:24" ht="20.100000000000001" customHeight="1" x14ac:dyDescent="0.3">
      <c r="A110" s="8" t="s">
        <v>66</v>
      </c>
      <c r="B110" s="9">
        <v>114</v>
      </c>
      <c r="C110" s="9">
        <v>114</v>
      </c>
      <c r="D110" s="9">
        <v>114</v>
      </c>
      <c r="E110" s="9">
        <v>114</v>
      </c>
      <c r="F110" s="9">
        <v>114</v>
      </c>
      <c r="G110" s="9"/>
      <c r="H110" s="9"/>
      <c r="I110" s="9">
        <v>100</v>
      </c>
      <c r="J110" s="9"/>
      <c r="K110" s="9"/>
      <c r="L110" s="9"/>
      <c r="M110" s="6"/>
      <c r="N110" s="6"/>
      <c r="O110" s="7">
        <f t="shared" si="26"/>
        <v>670</v>
      </c>
      <c r="P110" s="23">
        <v>1200</v>
      </c>
      <c r="Q110" s="54">
        <v>100</v>
      </c>
      <c r="R110" s="7">
        <v>200</v>
      </c>
      <c r="S110" s="61">
        <f t="shared" si="27"/>
        <v>-100</v>
      </c>
      <c r="T110" s="61">
        <v>200</v>
      </c>
      <c r="U110" s="6"/>
      <c r="V110" s="78">
        <f t="shared" ref="V110:X110" si="28">SUM(R110+T110)/2</f>
        <v>200</v>
      </c>
      <c r="X110" s="78">
        <f t="shared" si="28"/>
        <v>200</v>
      </c>
    </row>
    <row r="111" spans="1:24" ht="20.100000000000001" customHeight="1" x14ac:dyDescent="0.3">
      <c r="A111" s="8" t="s">
        <v>78</v>
      </c>
      <c r="B111" s="9">
        <v>2163</v>
      </c>
      <c r="C111" s="9">
        <v>2398</v>
      </c>
      <c r="D111" s="9">
        <v>1751</v>
      </c>
      <c r="E111" s="9">
        <v>1217</v>
      </c>
      <c r="F111" s="9">
        <v>2738</v>
      </c>
      <c r="G111" s="9"/>
      <c r="H111" s="9">
        <v>870</v>
      </c>
      <c r="I111" s="9">
        <v>1805</v>
      </c>
      <c r="J111" s="9"/>
      <c r="K111" s="9">
        <v>1738</v>
      </c>
      <c r="L111" s="9">
        <v>1028</v>
      </c>
      <c r="M111" s="9">
        <v>2182</v>
      </c>
      <c r="N111" s="6"/>
      <c r="O111" s="7">
        <f t="shared" si="26"/>
        <v>17890</v>
      </c>
      <c r="P111" s="23">
        <v>22500</v>
      </c>
      <c r="Q111" s="54">
        <v>22500</v>
      </c>
      <c r="R111" s="7">
        <v>14761</v>
      </c>
      <c r="S111" s="61">
        <f t="shared" si="27"/>
        <v>7739</v>
      </c>
      <c r="T111" s="61">
        <v>11171</v>
      </c>
      <c r="U111" s="6"/>
      <c r="V111" s="78">
        <v>30000</v>
      </c>
      <c r="X111" s="78">
        <v>30000</v>
      </c>
    </row>
    <row r="112" spans="1:24" ht="20.100000000000001" customHeight="1" x14ac:dyDescent="0.3">
      <c r="A112" s="8" t="s">
        <v>67</v>
      </c>
      <c r="B112" s="9"/>
      <c r="C112" s="9">
        <v>707</v>
      </c>
      <c r="D112" s="9"/>
      <c r="E112" s="9"/>
      <c r="F112" s="9">
        <v>100</v>
      </c>
      <c r="G112" s="9"/>
      <c r="H112" s="9"/>
      <c r="I112" s="9">
        <v>285</v>
      </c>
      <c r="J112" s="9"/>
      <c r="K112" s="9"/>
      <c r="L112" s="9"/>
      <c r="M112" s="6"/>
      <c r="N112" s="6"/>
      <c r="O112" s="7">
        <f t="shared" si="26"/>
        <v>1092</v>
      </c>
      <c r="P112" s="23">
        <v>1000</v>
      </c>
      <c r="Q112" s="54">
        <v>1200</v>
      </c>
      <c r="R112" s="7">
        <v>285</v>
      </c>
      <c r="S112" s="61">
        <f t="shared" si="27"/>
        <v>915</v>
      </c>
      <c r="T112" s="61">
        <v>570</v>
      </c>
      <c r="U112" s="6"/>
      <c r="V112" s="78">
        <v>1000</v>
      </c>
      <c r="X112" s="78">
        <v>1000</v>
      </c>
    </row>
    <row r="113" spans="1:24" ht="20.100000000000001" customHeight="1" x14ac:dyDescent="0.3">
      <c r="A113" s="8" t="s">
        <v>79</v>
      </c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>
        <v>10</v>
      </c>
      <c r="M113" s="6"/>
      <c r="N113" s="6"/>
      <c r="O113" s="7">
        <f t="shared" si="26"/>
        <v>10</v>
      </c>
      <c r="P113" s="23">
        <v>750</v>
      </c>
      <c r="Q113" s="54">
        <v>250</v>
      </c>
      <c r="R113" s="7">
        <v>54</v>
      </c>
      <c r="S113" s="61">
        <f t="shared" si="27"/>
        <v>196</v>
      </c>
      <c r="T113" s="61">
        <v>0</v>
      </c>
      <c r="U113" s="6"/>
      <c r="V113" s="78">
        <v>100</v>
      </c>
      <c r="X113" s="78">
        <v>100</v>
      </c>
    </row>
    <row r="114" spans="1:24" ht="20.100000000000001" customHeight="1" x14ac:dyDescent="0.3">
      <c r="A114" s="8" t="s">
        <v>68</v>
      </c>
      <c r="B114" s="9"/>
      <c r="C114" s="9">
        <v>108</v>
      </c>
      <c r="D114" s="9">
        <v>542</v>
      </c>
      <c r="E114" s="9"/>
      <c r="F114" s="9"/>
      <c r="G114" s="9"/>
      <c r="H114" s="9"/>
      <c r="I114" s="9"/>
      <c r="J114" s="9">
        <v>914</v>
      </c>
      <c r="K114" s="9"/>
      <c r="L114" s="9">
        <v>34</v>
      </c>
      <c r="M114" s="6"/>
      <c r="N114" s="6"/>
      <c r="O114" s="7">
        <f t="shared" si="26"/>
        <v>1598</v>
      </c>
      <c r="P114" s="23">
        <v>500</v>
      </c>
      <c r="Q114" s="54">
        <v>1250</v>
      </c>
      <c r="R114" s="7">
        <v>866</v>
      </c>
      <c r="S114" s="61">
        <f t="shared" si="27"/>
        <v>384</v>
      </c>
      <c r="T114" s="61">
        <v>678</v>
      </c>
      <c r="U114" s="6"/>
      <c r="V114" s="78">
        <v>3500</v>
      </c>
      <c r="X114" s="78">
        <v>3500</v>
      </c>
    </row>
    <row r="115" spans="1:24" ht="20.100000000000001" customHeight="1" x14ac:dyDescent="0.3">
      <c r="A115" s="8" t="s">
        <v>69</v>
      </c>
      <c r="B115" s="9">
        <v>17</v>
      </c>
      <c r="C115" s="9">
        <v>17</v>
      </c>
      <c r="D115" s="9">
        <v>17</v>
      </c>
      <c r="E115" s="9">
        <v>17</v>
      </c>
      <c r="F115" s="9">
        <v>-50</v>
      </c>
      <c r="G115" s="9"/>
      <c r="H115" s="9">
        <v>17</v>
      </c>
      <c r="I115" s="9">
        <v>15</v>
      </c>
      <c r="J115" s="9">
        <v>17</v>
      </c>
      <c r="K115" s="9">
        <v>17</v>
      </c>
      <c r="L115" s="9">
        <v>17</v>
      </c>
      <c r="M115" s="9">
        <v>14</v>
      </c>
      <c r="N115" s="6"/>
      <c r="O115" s="7">
        <f t="shared" si="26"/>
        <v>115</v>
      </c>
      <c r="P115" s="23">
        <v>210</v>
      </c>
      <c r="Q115" s="54">
        <v>175</v>
      </c>
      <c r="R115" s="7">
        <v>170</v>
      </c>
      <c r="S115" s="61">
        <f t="shared" si="27"/>
        <v>5</v>
      </c>
      <c r="T115" s="61">
        <v>158</v>
      </c>
      <c r="U115" s="6"/>
      <c r="V115" s="78">
        <v>200</v>
      </c>
      <c r="X115" s="78">
        <v>200</v>
      </c>
    </row>
    <row r="116" spans="1:24" ht="20.100000000000001" customHeight="1" x14ac:dyDescent="0.3">
      <c r="A116" s="8" t="s">
        <v>80</v>
      </c>
      <c r="B116" s="9">
        <v>876</v>
      </c>
      <c r="C116" s="9"/>
      <c r="D116" s="9">
        <v>3010</v>
      </c>
      <c r="E116" s="9"/>
      <c r="F116" s="9">
        <v>2175</v>
      </c>
      <c r="G116" s="9">
        <v>1191</v>
      </c>
      <c r="H116" s="9">
        <v>814</v>
      </c>
      <c r="I116" s="9">
        <v>470</v>
      </c>
      <c r="J116" s="9">
        <v>421</v>
      </c>
      <c r="K116" s="9">
        <v>652</v>
      </c>
      <c r="L116" s="9">
        <v>418</v>
      </c>
      <c r="M116" s="9">
        <v>500</v>
      </c>
      <c r="N116" s="6"/>
      <c r="O116" s="7">
        <f t="shared" si="26"/>
        <v>10527</v>
      </c>
      <c r="P116" s="23">
        <v>7500</v>
      </c>
      <c r="Q116" s="54">
        <v>8000</v>
      </c>
      <c r="R116" s="7">
        <v>6106</v>
      </c>
      <c r="S116" s="61">
        <f t="shared" si="27"/>
        <v>1894</v>
      </c>
      <c r="T116" s="61">
        <v>6767</v>
      </c>
      <c r="U116" s="6"/>
      <c r="V116" s="78">
        <v>7000</v>
      </c>
      <c r="X116" s="78">
        <v>7000</v>
      </c>
    </row>
    <row r="117" spans="1:24" ht="20.100000000000001" customHeight="1" x14ac:dyDescent="0.3">
      <c r="A117" s="8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6"/>
      <c r="N117" s="6"/>
      <c r="O117" s="7"/>
      <c r="P117" s="23"/>
      <c r="Q117" s="54"/>
      <c r="R117" s="7"/>
      <c r="S117" s="61"/>
      <c r="T117" s="61"/>
      <c r="U117" s="6"/>
      <c r="V117" s="78"/>
      <c r="X117" s="78"/>
    </row>
    <row r="118" spans="1:24" ht="20.100000000000001" customHeight="1" x14ac:dyDescent="0.3">
      <c r="A118" s="10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6"/>
      <c r="N118" s="6"/>
      <c r="O118" s="6"/>
      <c r="P118" s="7"/>
      <c r="Q118" s="7"/>
      <c r="R118" s="7"/>
      <c r="S118" s="61"/>
      <c r="T118" s="61"/>
      <c r="U118" s="6"/>
      <c r="V118" s="7"/>
      <c r="X118" s="7"/>
    </row>
    <row r="119" spans="1:24" s="76" customFormat="1" ht="20.100000000000001" customHeight="1" x14ac:dyDescent="0.3">
      <c r="A119" s="70" t="s">
        <v>117</v>
      </c>
      <c r="B119" s="33">
        <f t="shared" ref="B119:O119" si="29">SUM(B98:B117)</f>
        <v>14394</v>
      </c>
      <c r="C119" s="33">
        <f t="shared" si="29"/>
        <v>13343</v>
      </c>
      <c r="D119" s="33">
        <f t="shared" si="29"/>
        <v>17246</v>
      </c>
      <c r="E119" s="33">
        <f t="shared" si="29"/>
        <v>15603</v>
      </c>
      <c r="F119" s="33">
        <f t="shared" si="29"/>
        <v>19143</v>
      </c>
      <c r="G119" s="33">
        <f t="shared" si="29"/>
        <v>15174</v>
      </c>
      <c r="H119" s="33">
        <f t="shared" si="29"/>
        <v>9449</v>
      </c>
      <c r="I119" s="33">
        <f t="shared" si="29"/>
        <v>12789</v>
      </c>
      <c r="J119" s="33">
        <f t="shared" si="29"/>
        <v>20952</v>
      </c>
      <c r="K119" s="33">
        <f t="shared" si="29"/>
        <v>12452</v>
      </c>
      <c r="L119" s="33">
        <f t="shared" si="29"/>
        <v>12111</v>
      </c>
      <c r="M119" s="33">
        <f t="shared" si="29"/>
        <v>16277</v>
      </c>
      <c r="N119" s="33">
        <f t="shared" si="29"/>
        <v>0</v>
      </c>
      <c r="O119" s="71">
        <f t="shared" si="29"/>
        <v>178933</v>
      </c>
      <c r="P119" s="72">
        <f>SUM(P98:P118)</f>
        <v>184690</v>
      </c>
      <c r="Q119" s="73">
        <f>SUM(Q98:Q118)</f>
        <v>204628.448</v>
      </c>
      <c r="R119" s="74">
        <f>SUM(R98:R118)</f>
        <v>203013</v>
      </c>
      <c r="S119" s="75">
        <f>SUM(S98:S118)</f>
        <v>1615.4480000000003</v>
      </c>
      <c r="T119" s="66">
        <f>SUM(T98:T118)</f>
        <v>205659</v>
      </c>
      <c r="U119" s="45"/>
      <c r="V119" s="82">
        <f>SUM(V98:V118)</f>
        <v>237077</v>
      </c>
      <c r="X119" s="82">
        <f>SUM(X98:X118)</f>
        <v>237077</v>
      </c>
    </row>
    <row r="120" spans="1:24" ht="20.100000000000001" customHeight="1" x14ac:dyDescent="0.3">
      <c r="A120" s="12" t="s">
        <v>0</v>
      </c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6"/>
      <c r="N120" s="6"/>
      <c r="O120" s="6"/>
      <c r="P120" s="7"/>
      <c r="Q120" s="7"/>
      <c r="R120" s="7"/>
      <c r="S120" s="7"/>
      <c r="T120" s="7"/>
      <c r="U120" s="6"/>
      <c r="V120" s="7"/>
      <c r="X120" s="7"/>
    </row>
    <row r="121" spans="1:24" s="44" customFormat="1" ht="20.100000000000001" customHeight="1" x14ac:dyDescent="0.3">
      <c r="A121" s="45" t="s">
        <v>82</v>
      </c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7"/>
      <c r="N121" s="47"/>
      <c r="O121" s="47"/>
      <c r="P121" s="46"/>
      <c r="Q121" s="46"/>
      <c r="R121" s="46"/>
      <c r="S121" s="46"/>
      <c r="T121" s="46"/>
      <c r="U121" s="47"/>
      <c r="V121" s="46"/>
      <c r="X121" s="46"/>
    </row>
    <row r="122" spans="1:24" ht="20.100000000000001" customHeight="1" x14ac:dyDescent="0.3">
      <c r="A122" s="8" t="s">
        <v>50</v>
      </c>
      <c r="B122" s="9">
        <v>2957</v>
      </c>
      <c r="C122" s="9">
        <v>2872</v>
      </c>
      <c r="D122" s="9">
        <v>2465</v>
      </c>
      <c r="E122" s="9">
        <v>2878</v>
      </c>
      <c r="F122" s="9">
        <v>2114</v>
      </c>
      <c r="G122" s="9">
        <v>15</v>
      </c>
      <c r="H122" s="9"/>
      <c r="I122" s="9">
        <v>275</v>
      </c>
      <c r="J122" s="9">
        <v>2394</v>
      </c>
      <c r="K122" s="9">
        <v>1863</v>
      </c>
      <c r="L122" s="9">
        <v>1609</v>
      </c>
      <c r="M122" s="9">
        <v>1866</v>
      </c>
      <c r="N122" s="6"/>
      <c r="O122" s="7">
        <f>SUM(B122:N122)</f>
        <v>21308</v>
      </c>
      <c r="P122" s="23">
        <v>35200</v>
      </c>
      <c r="Q122" s="54">
        <v>0</v>
      </c>
      <c r="R122" s="7">
        <f>12*2080</f>
        <v>24960</v>
      </c>
      <c r="S122" s="61">
        <f>Q122-R122</f>
        <v>-24960</v>
      </c>
      <c r="T122" s="61">
        <v>24960</v>
      </c>
      <c r="U122" s="6"/>
      <c r="V122" s="78">
        <v>26400</v>
      </c>
      <c r="X122" s="78">
        <v>26400</v>
      </c>
    </row>
    <row r="123" spans="1:24" ht="20.100000000000001" customHeight="1" x14ac:dyDescent="0.3">
      <c r="A123" s="8" t="s">
        <v>51</v>
      </c>
      <c r="B123" s="9">
        <v>226</v>
      </c>
      <c r="C123" s="9">
        <v>220</v>
      </c>
      <c r="D123" s="9">
        <v>189</v>
      </c>
      <c r="E123" s="9">
        <v>220</v>
      </c>
      <c r="F123" s="9">
        <v>162</v>
      </c>
      <c r="G123" s="9"/>
      <c r="H123" s="9"/>
      <c r="I123" s="9">
        <v>216</v>
      </c>
      <c r="J123" s="9">
        <v>21</v>
      </c>
      <c r="K123" s="9">
        <v>183</v>
      </c>
      <c r="L123" s="9">
        <v>143</v>
      </c>
      <c r="M123" s="6"/>
      <c r="N123" s="6"/>
      <c r="O123" s="7">
        <f t="shared" ref="O123:O137" si="30">SUM(B123:N123)</f>
        <v>1580</v>
      </c>
      <c r="P123" s="23">
        <v>2693</v>
      </c>
      <c r="Q123" s="54">
        <v>0</v>
      </c>
      <c r="R123" s="7">
        <v>1909</v>
      </c>
      <c r="S123" s="61">
        <f t="shared" ref="S123:S137" si="31">Q123-R123</f>
        <v>-1909</v>
      </c>
      <c r="T123" s="61">
        <v>1909</v>
      </c>
      <c r="U123" s="6"/>
      <c r="V123" s="78">
        <v>2020</v>
      </c>
      <c r="X123" s="78">
        <v>2020</v>
      </c>
    </row>
    <row r="124" spans="1:24" ht="20.100000000000001" customHeight="1" x14ac:dyDescent="0.3">
      <c r="A124" s="8" t="s">
        <v>73</v>
      </c>
      <c r="B124" s="9"/>
      <c r="C124" s="9"/>
      <c r="D124" s="9"/>
      <c r="E124" s="9"/>
      <c r="F124" s="9"/>
      <c r="G124" s="9"/>
      <c r="H124" s="9"/>
      <c r="I124" s="9">
        <v>612</v>
      </c>
      <c r="J124" s="9"/>
      <c r="K124" s="9"/>
      <c r="L124" s="9"/>
      <c r="M124" s="6"/>
      <c r="N124" s="6"/>
      <c r="O124" s="7">
        <f t="shared" si="30"/>
        <v>612</v>
      </c>
      <c r="P124" s="23">
        <v>3000</v>
      </c>
      <c r="Q124" s="54">
        <v>0</v>
      </c>
      <c r="R124" s="7">
        <v>458</v>
      </c>
      <c r="S124" s="61">
        <f t="shared" si="31"/>
        <v>-458</v>
      </c>
      <c r="T124" s="61">
        <v>800</v>
      </c>
      <c r="U124" s="6"/>
      <c r="V124" s="78">
        <v>750</v>
      </c>
      <c r="X124" s="78">
        <v>750</v>
      </c>
    </row>
    <row r="125" spans="1:24" ht="20.100000000000001" customHeight="1" x14ac:dyDescent="0.3">
      <c r="A125" s="8" t="s">
        <v>85</v>
      </c>
      <c r="B125" s="9"/>
      <c r="C125" s="9"/>
      <c r="D125" s="9"/>
      <c r="E125" s="9">
        <v>560</v>
      </c>
      <c r="F125" s="9"/>
      <c r="G125" s="9"/>
      <c r="H125" s="9"/>
      <c r="I125" s="9">
        <v>450</v>
      </c>
      <c r="J125" s="9"/>
      <c r="K125" s="9">
        <v>1064</v>
      </c>
      <c r="L125" s="9"/>
      <c r="M125" s="6"/>
      <c r="N125" s="6"/>
      <c r="O125" s="7">
        <f t="shared" si="30"/>
        <v>2074</v>
      </c>
      <c r="P125" s="23">
        <v>2000</v>
      </c>
      <c r="Q125" s="54">
        <v>1500</v>
      </c>
      <c r="R125" s="7">
        <v>600</v>
      </c>
      <c r="S125" s="61">
        <f t="shared" si="31"/>
        <v>900</v>
      </c>
      <c r="T125" s="61">
        <v>0</v>
      </c>
      <c r="U125" s="6"/>
      <c r="V125" s="78">
        <v>2000</v>
      </c>
      <c r="X125" s="78">
        <v>2000</v>
      </c>
    </row>
    <row r="126" spans="1:24" ht="20.100000000000001" customHeight="1" x14ac:dyDescent="0.3">
      <c r="A126" s="8" t="s">
        <v>86</v>
      </c>
      <c r="B126" s="9"/>
      <c r="C126" s="9">
        <v>445</v>
      </c>
      <c r="D126" s="9">
        <v>722</v>
      </c>
      <c r="E126" s="9">
        <v>3786</v>
      </c>
      <c r="F126" s="9">
        <v>-563</v>
      </c>
      <c r="G126" s="9"/>
      <c r="H126" s="9"/>
      <c r="I126" s="9">
        <v>5</v>
      </c>
      <c r="J126" s="9">
        <v>154</v>
      </c>
      <c r="K126" s="9"/>
      <c r="L126" s="9">
        <v>526</v>
      </c>
      <c r="M126" s="9">
        <v>24</v>
      </c>
      <c r="N126" s="6"/>
      <c r="O126" s="7">
        <f t="shared" si="30"/>
        <v>5099</v>
      </c>
      <c r="P126" s="23">
        <v>2000</v>
      </c>
      <c r="Q126" s="54">
        <v>2000</v>
      </c>
      <c r="R126" s="7">
        <v>3216</v>
      </c>
      <c r="S126" s="61">
        <f t="shared" si="31"/>
        <v>-1216</v>
      </c>
      <c r="T126" s="61">
        <v>3864</v>
      </c>
      <c r="U126" s="6"/>
      <c r="V126" s="78">
        <v>3000</v>
      </c>
      <c r="X126" s="78">
        <v>3000</v>
      </c>
    </row>
    <row r="127" spans="1:24" ht="20.100000000000001" customHeight="1" x14ac:dyDescent="0.3">
      <c r="A127" s="8" t="s">
        <v>88</v>
      </c>
      <c r="B127" s="9"/>
      <c r="C127" s="9"/>
      <c r="D127" s="9"/>
      <c r="E127" s="9"/>
      <c r="F127" s="9">
        <v>55</v>
      </c>
      <c r="G127" s="9"/>
      <c r="H127" s="9"/>
      <c r="I127" s="9"/>
      <c r="J127" s="9"/>
      <c r="K127" s="9"/>
      <c r="L127" s="9"/>
      <c r="M127" s="6"/>
      <c r="N127" s="6"/>
      <c r="O127" s="7">
        <f t="shared" si="30"/>
        <v>55</v>
      </c>
      <c r="P127" s="23">
        <v>1000</v>
      </c>
      <c r="Q127" s="54">
        <v>500</v>
      </c>
      <c r="R127" s="7"/>
      <c r="S127" s="61">
        <f t="shared" si="31"/>
        <v>500</v>
      </c>
      <c r="T127" s="61">
        <v>1000</v>
      </c>
      <c r="U127" s="6"/>
      <c r="V127" s="78">
        <f t="shared" ref="V127:V129" si="32">SUM(R127+T127)/2</f>
        <v>500</v>
      </c>
      <c r="X127" s="78">
        <v>500</v>
      </c>
    </row>
    <row r="128" spans="1:24" ht="20.100000000000001" customHeight="1" x14ac:dyDescent="0.3">
      <c r="A128" s="8" t="s">
        <v>62</v>
      </c>
      <c r="B128" s="9"/>
      <c r="C128" s="9"/>
      <c r="D128" s="9"/>
      <c r="E128" s="9"/>
      <c r="F128" s="9">
        <v>44</v>
      </c>
      <c r="G128" s="9">
        <v>328</v>
      </c>
      <c r="H128" s="9"/>
      <c r="I128" s="9"/>
      <c r="J128" s="9">
        <v>1137</v>
      </c>
      <c r="K128" s="9"/>
      <c r="L128" s="9"/>
      <c r="M128" s="6"/>
      <c r="N128" s="6"/>
      <c r="O128" s="7">
        <f t="shared" si="30"/>
        <v>1509</v>
      </c>
      <c r="P128" s="23">
        <v>985</v>
      </c>
      <c r="Q128" s="54">
        <v>1500</v>
      </c>
      <c r="R128" s="7">
        <v>1004</v>
      </c>
      <c r="S128" s="61">
        <f t="shared" si="31"/>
        <v>496</v>
      </c>
      <c r="T128" s="61">
        <v>1500</v>
      </c>
      <c r="U128" s="6"/>
      <c r="V128" s="78">
        <v>1400</v>
      </c>
      <c r="X128" s="78">
        <v>1400</v>
      </c>
    </row>
    <row r="129" spans="1:24" ht="20.100000000000001" customHeight="1" x14ac:dyDescent="0.3">
      <c r="A129" s="8" t="s">
        <v>89</v>
      </c>
      <c r="B129" s="9"/>
      <c r="C129" s="9"/>
      <c r="D129" s="9"/>
      <c r="E129" s="9"/>
      <c r="F129" s="9"/>
      <c r="G129" s="9"/>
      <c r="H129" s="9">
        <v>24</v>
      </c>
      <c r="I129" s="9">
        <v>24</v>
      </c>
      <c r="J129" s="9">
        <v>24</v>
      </c>
      <c r="K129" s="9">
        <v>24</v>
      </c>
      <c r="L129" s="9">
        <v>24</v>
      </c>
      <c r="M129" s="9">
        <v>24</v>
      </c>
      <c r="N129" s="6"/>
      <c r="O129" s="7">
        <f t="shared" si="30"/>
        <v>144</v>
      </c>
      <c r="P129" s="23">
        <v>0</v>
      </c>
      <c r="Q129" s="54">
        <v>300</v>
      </c>
      <c r="R129" s="7">
        <v>156</v>
      </c>
      <c r="S129" s="61">
        <f t="shared" si="31"/>
        <v>144</v>
      </c>
      <c r="T129" s="61">
        <v>504</v>
      </c>
      <c r="U129" s="6"/>
      <c r="V129" s="78">
        <f t="shared" si="32"/>
        <v>330</v>
      </c>
      <c r="X129" s="78">
        <v>330</v>
      </c>
    </row>
    <row r="130" spans="1:24" ht="20.100000000000001" customHeight="1" x14ac:dyDescent="0.3">
      <c r="A130" s="8" t="s">
        <v>64</v>
      </c>
      <c r="B130" s="9"/>
      <c r="C130" s="9"/>
      <c r="D130" s="9"/>
      <c r="E130" s="9"/>
      <c r="F130" s="9">
        <v>120</v>
      </c>
      <c r="G130" s="9"/>
      <c r="H130" s="9"/>
      <c r="I130" s="9"/>
      <c r="J130" s="9"/>
      <c r="K130" s="9"/>
      <c r="L130" s="9"/>
      <c r="M130" s="6"/>
      <c r="N130" s="6"/>
      <c r="O130" s="7">
        <f t="shared" si="30"/>
        <v>120</v>
      </c>
      <c r="P130" s="23">
        <v>150</v>
      </c>
      <c r="Q130" s="54">
        <v>100</v>
      </c>
      <c r="R130" s="7">
        <v>331</v>
      </c>
      <c r="S130" s="61">
        <f t="shared" si="31"/>
        <v>-231</v>
      </c>
      <c r="T130" s="61">
        <v>100</v>
      </c>
      <c r="U130" s="6"/>
      <c r="V130" s="78">
        <v>225</v>
      </c>
      <c r="X130" s="78">
        <v>225</v>
      </c>
    </row>
    <row r="131" spans="1:24" ht="20.100000000000001" customHeight="1" x14ac:dyDescent="0.3">
      <c r="A131" s="8" t="s">
        <v>90</v>
      </c>
      <c r="B131" s="9">
        <v>63</v>
      </c>
      <c r="C131" s="9">
        <v>63</v>
      </c>
      <c r="D131" s="9">
        <v>306</v>
      </c>
      <c r="E131" s="9">
        <v>84</v>
      </c>
      <c r="F131" s="9">
        <v>-1640</v>
      </c>
      <c r="G131" s="9"/>
      <c r="H131" s="9">
        <v>62</v>
      </c>
      <c r="I131" s="9">
        <v>53</v>
      </c>
      <c r="J131" s="9">
        <v>76</v>
      </c>
      <c r="K131" s="9">
        <v>100</v>
      </c>
      <c r="L131" s="9">
        <v>67</v>
      </c>
      <c r="M131" s="9">
        <v>99</v>
      </c>
      <c r="N131" s="6"/>
      <c r="O131" s="7">
        <f t="shared" si="30"/>
        <v>-667</v>
      </c>
      <c r="P131" s="23">
        <v>1500</v>
      </c>
      <c r="Q131" s="54">
        <v>1000</v>
      </c>
      <c r="R131" s="7">
        <v>1310</v>
      </c>
      <c r="S131" s="61">
        <f t="shared" si="31"/>
        <v>-310</v>
      </c>
      <c r="T131" s="61">
        <v>1031</v>
      </c>
      <c r="U131" s="6"/>
      <c r="V131" s="78">
        <v>1175</v>
      </c>
      <c r="X131" s="78">
        <v>1175</v>
      </c>
    </row>
    <row r="132" spans="1:24" ht="20.100000000000001" customHeight="1" x14ac:dyDescent="0.3">
      <c r="A132" s="8" t="s">
        <v>47</v>
      </c>
      <c r="B132" s="9">
        <v>1714</v>
      </c>
      <c r="C132" s="9">
        <v>1714</v>
      </c>
      <c r="D132" s="9">
        <v>1714</v>
      </c>
      <c r="E132" s="9">
        <v>1714</v>
      </c>
      <c r="F132" s="9">
        <v>2999</v>
      </c>
      <c r="G132" s="9"/>
      <c r="H132" s="9">
        <v>2142</v>
      </c>
      <c r="I132" s="9">
        <v>1714</v>
      </c>
      <c r="J132" s="9">
        <v>1714</v>
      </c>
      <c r="K132" s="9">
        <v>2142</v>
      </c>
      <c r="L132" s="9">
        <v>1714</v>
      </c>
      <c r="M132" s="9">
        <v>1714</v>
      </c>
      <c r="N132" s="6"/>
      <c r="O132" s="7">
        <f t="shared" si="30"/>
        <v>20995</v>
      </c>
      <c r="P132" s="23">
        <v>22000</v>
      </c>
      <c r="Q132" s="54">
        <v>73000</v>
      </c>
      <c r="R132" s="7">
        <v>66158</v>
      </c>
      <c r="S132" s="61">
        <f t="shared" si="31"/>
        <v>6842</v>
      </c>
      <c r="T132" s="61">
        <v>62245</v>
      </c>
      <c r="U132" s="6"/>
      <c r="V132" s="78">
        <v>73000</v>
      </c>
      <c r="X132" s="78">
        <v>73000</v>
      </c>
    </row>
    <row r="133" spans="1:24" ht="20.100000000000001" customHeight="1" x14ac:dyDescent="0.3">
      <c r="A133" s="8" t="s">
        <v>68</v>
      </c>
      <c r="B133" s="9">
        <v>813</v>
      </c>
      <c r="C133" s="9">
        <v>465</v>
      </c>
      <c r="D133" s="9">
        <v>1184</v>
      </c>
      <c r="E133" s="9">
        <v>119</v>
      </c>
      <c r="F133" s="9">
        <v>-11</v>
      </c>
      <c r="G133" s="9">
        <v>427</v>
      </c>
      <c r="H133" s="9"/>
      <c r="I133" s="9"/>
      <c r="J133" s="9">
        <v>256</v>
      </c>
      <c r="K133" s="9">
        <v>424</v>
      </c>
      <c r="L133" s="9">
        <v>182</v>
      </c>
      <c r="M133" s="9">
        <v>774</v>
      </c>
      <c r="N133" s="6"/>
      <c r="O133" s="7">
        <f t="shared" si="30"/>
        <v>4633</v>
      </c>
      <c r="P133" s="23">
        <v>4000</v>
      </c>
      <c r="Q133" s="54">
        <v>2000</v>
      </c>
      <c r="R133" s="7">
        <v>5674</v>
      </c>
      <c r="S133" s="61">
        <f t="shared" si="31"/>
        <v>-3674</v>
      </c>
      <c r="T133" s="61">
        <v>8550</v>
      </c>
      <c r="U133" s="6"/>
      <c r="V133" s="78">
        <v>7000</v>
      </c>
      <c r="X133" s="78">
        <v>7000</v>
      </c>
    </row>
    <row r="134" spans="1:24" ht="20.100000000000001" customHeight="1" x14ac:dyDescent="0.3">
      <c r="A134" s="8" t="s">
        <v>91</v>
      </c>
      <c r="B134" s="9">
        <v>1297</v>
      </c>
      <c r="C134" s="9">
        <v>1330</v>
      </c>
      <c r="D134" s="9">
        <v>1330</v>
      </c>
      <c r="E134" s="9">
        <v>1317</v>
      </c>
      <c r="F134" s="9">
        <v>2267</v>
      </c>
      <c r="G134" s="9">
        <v>575</v>
      </c>
      <c r="H134" s="9">
        <v>1336</v>
      </c>
      <c r="I134" s="9">
        <v>1085</v>
      </c>
      <c r="J134" s="9">
        <v>1338</v>
      </c>
      <c r="K134" s="9">
        <v>1338</v>
      </c>
      <c r="L134" s="9">
        <v>1338</v>
      </c>
      <c r="M134" s="9">
        <v>1260</v>
      </c>
      <c r="N134" s="6"/>
      <c r="O134" s="7">
        <f t="shared" si="30"/>
        <v>15811</v>
      </c>
      <c r="P134" s="23">
        <v>16500</v>
      </c>
      <c r="Q134" s="54">
        <v>17000</v>
      </c>
      <c r="R134" s="7">
        <v>15495</v>
      </c>
      <c r="S134" s="61">
        <f t="shared" si="31"/>
        <v>1505</v>
      </c>
      <c r="T134" s="61">
        <v>15386</v>
      </c>
      <c r="U134" s="6"/>
      <c r="V134" s="78">
        <v>16000</v>
      </c>
      <c r="X134" s="78">
        <v>16000</v>
      </c>
    </row>
    <row r="135" spans="1:24" ht="20.100000000000001" customHeight="1" x14ac:dyDescent="0.3">
      <c r="A135" s="8" t="s">
        <v>92</v>
      </c>
      <c r="B135" s="9"/>
      <c r="C135" s="9"/>
      <c r="D135" s="9">
        <v>382</v>
      </c>
      <c r="E135" s="9"/>
      <c r="F135" s="9">
        <v>126</v>
      </c>
      <c r="G135" s="9">
        <v>99</v>
      </c>
      <c r="H135" s="9">
        <v>235</v>
      </c>
      <c r="I135" s="9">
        <v>78</v>
      </c>
      <c r="J135" s="9">
        <v>70</v>
      </c>
      <c r="K135" s="9">
        <v>109</v>
      </c>
      <c r="L135" s="9">
        <v>70</v>
      </c>
      <c r="M135" s="9">
        <v>83</v>
      </c>
      <c r="N135" s="6"/>
      <c r="O135" s="7">
        <f t="shared" si="30"/>
        <v>1252</v>
      </c>
      <c r="P135" s="23">
        <v>2500</v>
      </c>
      <c r="Q135" s="54">
        <v>200</v>
      </c>
      <c r="R135" s="7">
        <v>845</v>
      </c>
      <c r="S135" s="61">
        <f t="shared" si="31"/>
        <v>-645</v>
      </c>
      <c r="T135" s="61">
        <v>783</v>
      </c>
      <c r="U135" s="6"/>
      <c r="V135" s="78">
        <v>1500</v>
      </c>
      <c r="X135" s="78">
        <v>1500</v>
      </c>
    </row>
    <row r="136" spans="1:24" ht="20.100000000000001" customHeight="1" x14ac:dyDescent="0.3">
      <c r="A136" s="8" t="s">
        <v>93</v>
      </c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6"/>
      <c r="N136" s="6"/>
      <c r="O136" s="7">
        <f t="shared" si="30"/>
        <v>0</v>
      </c>
      <c r="P136" s="23">
        <v>500</v>
      </c>
      <c r="Q136" s="54">
        <v>500</v>
      </c>
      <c r="R136" s="7"/>
      <c r="S136" s="61">
        <f t="shared" si="31"/>
        <v>500</v>
      </c>
      <c r="T136" s="61">
        <v>0</v>
      </c>
      <c r="U136" s="6"/>
      <c r="V136" s="78">
        <v>500</v>
      </c>
      <c r="X136" s="78">
        <v>500</v>
      </c>
    </row>
    <row r="137" spans="1:24" ht="20.100000000000001" customHeight="1" x14ac:dyDescent="0.3">
      <c r="A137" s="8" t="s">
        <v>94</v>
      </c>
      <c r="B137" s="9"/>
      <c r="C137" s="9"/>
      <c r="D137" s="9"/>
      <c r="E137" s="9"/>
      <c r="F137" s="9">
        <v>38</v>
      </c>
      <c r="G137" s="9"/>
      <c r="H137" s="9"/>
      <c r="I137" s="9"/>
      <c r="J137" s="9"/>
      <c r="K137" s="9"/>
      <c r="L137" s="9">
        <v>150</v>
      </c>
      <c r="M137" s="6"/>
      <c r="N137" s="6"/>
      <c r="O137" s="7">
        <f t="shared" si="30"/>
        <v>188</v>
      </c>
      <c r="P137" s="23">
        <v>0</v>
      </c>
      <c r="Q137" s="54">
        <v>0</v>
      </c>
      <c r="R137" s="7">
        <v>1550</v>
      </c>
      <c r="S137" s="61">
        <f t="shared" si="31"/>
        <v>-1550</v>
      </c>
      <c r="T137" s="61">
        <v>1560</v>
      </c>
      <c r="U137" s="6"/>
      <c r="V137" s="78">
        <v>1550</v>
      </c>
      <c r="X137" s="78">
        <v>1550</v>
      </c>
    </row>
    <row r="138" spans="1:24" ht="20.100000000000001" customHeight="1" x14ac:dyDescent="0.3">
      <c r="A138" s="10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6"/>
      <c r="N138" s="6"/>
      <c r="O138" s="6"/>
      <c r="P138" s="7"/>
      <c r="Q138" s="7"/>
      <c r="R138" s="7"/>
      <c r="S138" s="61"/>
      <c r="T138" s="61"/>
      <c r="U138" s="6"/>
      <c r="V138" s="7"/>
      <c r="X138" s="7"/>
    </row>
    <row r="139" spans="1:24" s="76" customFormat="1" ht="20.100000000000001" customHeight="1" x14ac:dyDescent="0.3">
      <c r="A139" s="70" t="s">
        <v>118</v>
      </c>
      <c r="B139" s="33">
        <f t="shared" ref="B139:O139" si="33">SUM(B122:B137)</f>
        <v>7070</v>
      </c>
      <c r="C139" s="33">
        <f t="shared" si="33"/>
        <v>7109</v>
      </c>
      <c r="D139" s="33">
        <f t="shared" si="33"/>
        <v>8292</v>
      </c>
      <c r="E139" s="33">
        <f t="shared" si="33"/>
        <v>10678</v>
      </c>
      <c r="F139" s="33">
        <f t="shared" si="33"/>
        <v>5711</v>
      </c>
      <c r="G139" s="33">
        <f t="shared" si="33"/>
        <v>1444</v>
      </c>
      <c r="H139" s="33">
        <f t="shared" si="33"/>
        <v>3799</v>
      </c>
      <c r="I139" s="33">
        <f t="shared" si="33"/>
        <v>4512</v>
      </c>
      <c r="J139" s="33">
        <f t="shared" si="33"/>
        <v>7184</v>
      </c>
      <c r="K139" s="33">
        <f t="shared" si="33"/>
        <v>7247</v>
      </c>
      <c r="L139" s="33">
        <f t="shared" si="33"/>
        <v>5823</v>
      </c>
      <c r="M139" s="33">
        <f t="shared" si="33"/>
        <v>5844</v>
      </c>
      <c r="N139" s="33">
        <f t="shared" si="33"/>
        <v>0</v>
      </c>
      <c r="O139" s="71">
        <f t="shared" si="33"/>
        <v>74713</v>
      </c>
      <c r="P139" s="72">
        <f>SUM(P122:P138)</f>
        <v>94028</v>
      </c>
      <c r="Q139" s="73">
        <f>SUM(Q122:Q138)</f>
        <v>99600</v>
      </c>
      <c r="R139" s="74">
        <f>SUM(R122:R138)</f>
        <v>123666</v>
      </c>
      <c r="S139" s="75">
        <f>SUM(S122:S138)</f>
        <v>-24066</v>
      </c>
      <c r="T139" s="66">
        <f>SUM(T122:T138)</f>
        <v>124192</v>
      </c>
      <c r="U139" s="71"/>
      <c r="V139" s="82">
        <f>SUM(V122:V138)</f>
        <v>137350</v>
      </c>
      <c r="X139" s="82">
        <f>SUM(X122:X138)</f>
        <v>137350</v>
      </c>
    </row>
    <row r="140" spans="1:24" ht="20.100000000000001" customHeight="1" x14ac:dyDescent="0.3">
      <c r="A140" s="6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6"/>
      <c r="N140" s="6"/>
      <c r="O140" s="6"/>
      <c r="P140" s="7"/>
      <c r="Q140" s="7"/>
      <c r="R140" s="7"/>
      <c r="S140" s="7"/>
      <c r="T140" s="7"/>
      <c r="U140" s="6"/>
      <c r="V140" s="7"/>
      <c r="X140" s="7"/>
    </row>
    <row r="141" spans="1:24" s="44" customFormat="1" ht="20.100000000000001" customHeight="1" x14ac:dyDescent="0.3">
      <c r="A141" s="45" t="s">
        <v>39</v>
      </c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7"/>
      <c r="N141" s="47"/>
      <c r="O141" s="47"/>
      <c r="P141" s="46"/>
      <c r="Q141" s="46"/>
      <c r="R141" s="46"/>
      <c r="S141" s="46"/>
      <c r="T141" s="46"/>
      <c r="U141" s="47"/>
      <c r="V141" s="46"/>
      <c r="X141" s="46"/>
    </row>
    <row r="142" spans="1:24" ht="20.100000000000001" customHeight="1" x14ac:dyDescent="0.3">
      <c r="A142" s="8" t="s">
        <v>95</v>
      </c>
      <c r="B142" s="9">
        <v>3439</v>
      </c>
      <c r="C142" s="9">
        <v>3537</v>
      </c>
      <c r="D142" s="9">
        <v>3549</v>
      </c>
      <c r="E142" s="9">
        <v>3394</v>
      </c>
      <c r="F142" s="9">
        <v>143</v>
      </c>
      <c r="G142" s="9">
        <v>3537</v>
      </c>
      <c r="H142" s="9">
        <v>3554</v>
      </c>
      <c r="I142" s="9">
        <v>3570</v>
      </c>
      <c r="J142" s="9">
        <v>3570</v>
      </c>
      <c r="K142" s="9">
        <v>3614</v>
      </c>
      <c r="L142" s="9">
        <v>3690</v>
      </c>
      <c r="M142" s="9">
        <v>3718</v>
      </c>
      <c r="N142" s="6"/>
      <c r="O142" s="7">
        <f>SUM(B142:N142)</f>
        <v>39315</v>
      </c>
      <c r="P142" s="23">
        <v>44500</v>
      </c>
      <c r="Q142" s="54">
        <v>44500</v>
      </c>
      <c r="R142" s="7">
        <v>44457</v>
      </c>
      <c r="S142" s="61">
        <f>Q142-R142</f>
        <v>43</v>
      </c>
      <c r="T142" s="61">
        <v>44321</v>
      </c>
      <c r="U142" s="6"/>
      <c r="V142" s="78">
        <v>42500</v>
      </c>
      <c r="X142" s="78">
        <v>52250</v>
      </c>
    </row>
    <row r="143" spans="1:24" ht="20.100000000000001" customHeight="1" x14ac:dyDescent="0.3">
      <c r="A143" s="10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6"/>
      <c r="N143" s="6"/>
      <c r="O143" s="6"/>
      <c r="P143" s="7"/>
      <c r="Q143" s="7"/>
      <c r="R143" s="7"/>
      <c r="S143" s="61"/>
      <c r="T143" s="61"/>
      <c r="U143" s="6"/>
      <c r="V143" s="7"/>
      <c r="X143" s="7"/>
    </row>
    <row r="144" spans="1:24" s="76" customFormat="1" ht="20.100000000000001" customHeight="1" x14ac:dyDescent="0.3">
      <c r="A144" s="70" t="s">
        <v>119</v>
      </c>
      <c r="B144" s="33">
        <f>SUM(B142:B143)</f>
        <v>3439</v>
      </c>
      <c r="C144" s="33">
        <f>SUM(C142:C143)</f>
        <v>3537</v>
      </c>
      <c r="D144" s="33">
        <f t="shared" ref="D144:N144" si="34">SUM(D142:D143)</f>
        <v>3549</v>
      </c>
      <c r="E144" s="33">
        <f t="shared" si="34"/>
        <v>3394</v>
      </c>
      <c r="F144" s="33">
        <f t="shared" si="34"/>
        <v>143</v>
      </c>
      <c r="G144" s="33">
        <f t="shared" si="34"/>
        <v>3537</v>
      </c>
      <c r="H144" s="33">
        <f t="shared" si="34"/>
        <v>3554</v>
      </c>
      <c r="I144" s="33">
        <f t="shared" si="34"/>
        <v>3570</v>
      </c>
      <c r="J144" s="33">
        <f t="shared" si="34"/>
        <v>3570</v>
      </c>
      <c r="K144" s="33">
        <f t="shared" si="34"/>
        <v>3614</v>
      </c>
      <c r="L144" s="33">
        <f t="shared" si="34"/>
        <v>3690</v>
      </c>
      <c r="M144" s="33">
        <f t="shared" si="34"/>
        <v>3718</v>
      </c>
      <c r="N144" s="33">
        <f t="shared" si="34"/>
        <v>0</v>
      </c>
      <c r="O144" s="71">
        <f>O142</f>
        <v>39315</v>
      </c>
      <c r="P144" s="72">
        <f>SUM(P142:P143)</f>
        <v>44500</v>
      </c>
      <c r="Q144" s="73">
        <f>Q142</f>
        <v>44500</v>
      </c>
      <c r="R144" s="74">
        <v>44457</v>
      </c>
      <c r="S144" s="75">
        <f>SUM(S142:S143)</f>
        <v>43</v>
      </c>
      <c r="T144" s="75">
        <f>SUM(T142:T143)</f>
        <v>44321</v>
      </c>
      <c r="U144" s="45"/>
      <c r="V144" s="82">
        <f>SUM(V142:V143)</f>
        <v>42500</v>
      </c>
      <c r="X144" s="82">
        <f>SUM(X142:X143)</f>
        <v>52250</v>
      </c>
    </row>
    <row r="145" spans="1:24" ht="20.100000000000001" customHeight="1" x14ac:dyDescent="0.3">
      <c r="A145" s="6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6"/>
      <c r="N145" s="6"/>
      <c r="O145" s="6"/>
      <c r="P145" s="7"/>
      <c r="Q145" s="7"/>
      <c r="R145" s="7"/>
      <c r="S145" s="7"/>
      <c r="T145" s="7"/>
      <c r="U145" s="6"/>
      <c r="V145" s="7"/>
      <c r="X145" s="7"/>
    </row>
    <row r="146" spans="1:24" ht="20.100000000000001" customHeight="1" x14ac:dyDescent="0.3">
      <c r="A146" s="14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6"/>
      <c r="N146" s="6"/>
      <c r="O146" s="6"/>
      <c r="P146" s="7"/>
      <c r="Q146" s="7"/>
      <c r="R146" s="7"/>
      <c r="S146" s="7"/>
      <c r="T146" s="7"/>
      <c r="U146" s="6"/>
      <c r="V146" s="7"/>
      <c r="X146" s="7"/>
    </row>
    <row r="147" spans="1:24" s="44" customFormat="1" ht="20.100000000000001" customHeight="1" x14ac:dyDescent="0.3">
      <c r="A147" s="45" t="s">
        <v>120</v>
      </c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7"/>
      <c r="N147" s="47"/>
      <c r="O147" s="47"/>
      <c r="P147" s="46"/>
      <c r="Q147" s="46"/>
      <c r="R147" s="46"/>
      <c r="S147" s="46"/>
      <c r="T147" s="46"/>
      <c r="U147" s="47"/>
      <c r="V147" s="46"/>
      <c r="X147" s="46"/>
    </row>
    <row r="148" spans="1:24" ht="20.100000000000001" customHeight="1" x14ac:dyDescent="0.3">
      <c r="A148" s="8" t="s">
        <v>96</v>
      </c>
      <c r="B148" s="9"/>
      <c r="C148" s="9"/>
      <c r="D148" s="9"/>
      <c r="E148" s="9"/>
      <c r="F148" s="9">
        <v>709</v>
      </c>
      <c r="G148" s="9">
        <v>674</v>
      </c>
      <c r="H148" s="9"/>
      <c r="I148" s="9"/>
      <c r="J148" s="9"/>
      <c r="K148" s="9"/>
      <c r="L148" s="9"/>
      <c r="M148" s="6"/>
      <c r="N148" s="6"/>
      <c r="O148" s="7">
        <f t="shared" ref="O148:O150" si="35">SUM(B148:N148)</f>
        <v>1383</v>
      </c>
      <c r="P148" s="23">
        <v>0</v>
      </c>
      <c r="Q148" s="54">
        <v>1000</v>
      </c>
      <c r="R148" s="7"/>
      <c r="S148" s="61">
        <f>Q148-R148</f>
        <v>1000</v>
      </c>
      <c r="T148" s="61">
        <v>0</v>
      </c>
      <c r="U148" s="6"/>
      <c r="V148" s="78">
        <v>700</v>
      </c>
      <c r="X148" s="78">
        <v>700</v>
      </c>
    </row>
    <row r="149" spans="1:24" ht="20.100000000000001" customHeight="1" x14ac:dyDescent="0.3">
      <c r="A149" s="8" t="s">
        <v>68</v>
      </c>
      <c r="B149" s="9"/>
      <c r="C149" s="9"/>
      <c r="D149" s="9"/>
      <c r="E149" s="9"/>
      <c r="F149" s="9">
        <v>350</v>
      </c>
      <c r="G149" s="9"/>
      <c r="H149" s="9"/>
      <c r="I149" s="9"/>
      <c r="J149" s="9"/>
      <c r="K149" s="9"/>
      <c r="L149" s="9"/>
      <c r="M149" s="6"/>
      <c r="N149" s="6"/>
      <c r="O149" s="7">
        <f t="shared" si="35"/>
        <v>350</v>
      </c>
      <c r="P149" s="23">
        <v>3000</v>
      </c>
      <c r="Q149" s="54">
        <v>1000</v>
      </c>
      <c r="R149" s="7">
        <f>213+87</f>
        <v>300</v>
      </c>
      <c r="S149" s="61">
        <f t="shared" ref="S149:S152" si="36">Q149-R149</f>
        <v>700</v>
      </c>
      <c r="T149" s="61">
        <v>0</v>
      </c>
      <c r="U149" s="6"/>
      <c r="V149" s="78">
        <v>1000</v>
      </c>
      <c r="X149" s="78">
        <v>1000</v>
      </c>
    </row>
    <row r="150" spans="1:24" ht="20.100000000000001" customHeight="1" x14ac:dyDescent="0.3">
      <c r="A150" s="8" t="s">
        <v>122</v>
      </c>
      <c r="B150" s="9">
        <v>350</v>
      </c>
      <c r="C150" s="9">
        <v>350</v>
      </c>
      <c r="D150" s="9">
        <v>350</v>
      </c>
      <c r="E150" s="9">
        <v>350</v>
      </c>
      <c r="F150" s="9">
        <v>-747</v>
      </c>
      <c r="G150" s="9"/>
      <c r="H150" s="9">
        <v>350</v>
      </c>
      <c r="I150" s="9"/>
      <c r="J150" s="9">
        <v>320</v>
      </c>
      <c r="K150" s="9"/>
      <c r="L150" s="9">
        <v>320</v>
      </c>
      <c r="M150" s="9">
        <v>480</v>
      </c>
      <c r="N150" s="6"/>
      <c r="O150" s="7">
        <f t="shared" si="35"/>
        <v>2123</v>
      </c>
      <c r="P150" s="23">
        <v>4800</v>
      </c>
      <c r="Q150" s="54">
        <v>4000</v>
      </c>
      <c r="R150" s="7">
        <v>3000</v>
      </c>
      <c r="S150" s="61">
        <f t="shared" si="36"/>
        <v>1000</v>
      </c>
      <c r="T150" s="61">
        <v>560</v>
      </c>
      <c r="U150" s="6"/>
      <c r="V150" s="78">
        <v>1000</v>
      </c>
      <c r="X150" s="78">
        <v>1000</v>
      </c>
    </row>
    <row r="151" spans="1:24" ht="20.100000000000001" customHeight="1" x14ac:dyDescent="0.3">
      <c r="A151" s="8" t="s">
        <v>145</v>
      </c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6"/>
      <c r="O151" s="7"/>
      <c r="P151" s="23"/>
      <c r="Q151" s="54"/>
      <c r="R151" s="7">
        <v>260</v>
      </c>
      <c r="S151" s="61">
        <f t="shared" si="36"/>
        <v>-260</v>
      </c>
      <c r="T151" s="61">
        <v>358</v>
      </c>
      <c r="U151" s="6"/>
      <c r="V151" s="78">
        <v>500</v>
      </c>
      <c r="X151" s="78">
        <v>500</v>
      </c>
    </row>
    <row r="152" spans="1:24" ht="20.100000000000001" customHeight="1" x14ac:dyDescent="0.3">
      <c r="A152" s="8" t="s">
        <v>146</v>
      </c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6"/>
      <c r="O152" s="7"/>
      <c r="P152" s="23"/>
      <c r="Q152" s="54"/>
      <c r="R152" s="7">
        <v>1111</v>
      </c>
      <c r="S152" s="61">
        <f t="shared" si="36"/>
        <v>-1111</v>
      </c>
      <c r="T152" s="61">
        <v>500</v>
      </c>
      <c r="U152" s="6"/>
      <c r="V152" s="78">
        <v>2000</v>
      </c>
      <c r="X152" s="78">
        <v>2000</v>
      </c>
    </row>
    <row r="153" spans="1:24" ht="20.100000000000001" customHeight="1" x14ac:dyDescent="0.3">
      <c r="A153" s="10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6"/>
      <c r="N153" s="6"/>
      <c r="O153" s="6"/>
      <c r="P153" s="7"/>
      <c r="Q153" s="7"/>
      <c r="R153" s="7"/>
      <c r="S153" s="61"/>
      <c r="T153" s="61"/>
      <c r="U153" s="6"/>
      <c r="V153" s="7"/>
      <c r="X153" s="7"/>
    </row>
    <row r="154" spans="1:24" s="76" customFormat="1" ht="20.100000000000001" customHeight="1" x14ac:dyDescent="0.3">
      <c r="A154" s="70" t="s">
        <v>121</v>
      </c>
      <c r="B154" s="33">
        <f>SUM(B148:B150)</f>
        <v>350</v>
      </c>
      <c r="C154" s="33">
        <f>SUM(C148:C153)</f>
        <v>350</v>
      </c>
      <c r="D154" s="33">
        <f t="shared" ref="D154:N154" si="37">SUM(D148:D153)</f>
        <v>350</v>
      </c>
      <c r="E154" s="33">
        <f t="shared" si="37"/>
        <v>350</v>
      </c>
      <c r="F154" s="33">
        <f t="shared" si="37"/>
        <v>312</v>
      </c>
      <c r="G154" s="33">
        <f t="shared" si="37"/>
        <v>674</v>
      </c>
      <c r="H154" s="33">
        <f t="shared" si="37"/>
        <v>350</v>
      </c>
      <c r="I154" s="33">
        <f t="shared" si="37"/>
        <v>0</v>
      </c>
      <c r="J154" s="33">
        <f t="shared" si="37"/>
        <v>320</v>
      </c>
      <c r="K154" s="33">
        <f t="shared" si="37"/>
        <v>0</v>
      </c>
      <c r="L154" s="33">
        <f t="shared" si="37"/>
        <v>320</v>
      </c>
      <c r="M154" s="33">
        <f t="shared" si="37"/>
        <v>480</v>
      </c>
      <c r="N154" s="33">
        <f t="shared" si="37"/>
        <v>0</v>
      </c>
      <c r="O154" s="71">
        <f>SUM(O148:O150)</f>
        <v>3856</v>
      </c>
      <c r="P154" s="72">
        <f>SUM(P148:P153)</f>
        <v>7800</v>
      </c>
      <c r="Q154" s="73">
        <f>SUM(Q148:Q153)</f>
        <v>6000</v>
      </c>
      <c r="R154" s="74">
        <f>SUM(R148:R153)</f>
        <v>4671</v>
      </c>
      <c r="S154" s="75">
        <f>SUM(S148:S153)</f>
        <v>1329</v>
      </c>
      <c r="T154" s="66">
        <f>SUM(T148:T153)</f>
        <v>1418</v>
      </c>
      <c r="U154" s="45"/>
      <c r="V154" s="82">
        <f>SUM(V148:V153)</f>
        <v>5200</v>
      </c>
      <c r="X154" s="82">
        <f>SUM(X148:X153)</f>
        <v>5200</v>
      </c>
    </row>
    <row r="155" spans="1:24" ht="20.100000000000001" customHeight="1" x14ac:dyDescent="0.3">
      <c r="A155" s="6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6"/>
      <c r="N155" s="6"/>
      <c r="O155" s="6"/>
      <c r="P155" s="7"/>
      <c r="Q155" s="7"/>
      <c r="R155" s="7"/>
      <c r="S155" s="7"/>
      <c r="T155" s="7"/>
      <c r="U155" s="6"/>
      <c r="V155" s="7"/>
      <c r="X155" s="7"/>
    </row>
    <row r="156" spans="1:24" ht="20.100000000000001" customHeight="1" x14ac:dyDescent="0.3">
      <c r="A156" s="6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6"/>
      <c r="N156" s="6"/>
      <c r="O156" s="6"/>
      <c r="P156" s="7"/>
      <c r="Q156" s="7"/>
      <c r="R156" s="7"/>
      <c r="S156" s="7"/>
      <c r="T156" s="7"/>
      <c r="U156" s="6"/>
      <c r="V156" s="7"/>
      <c r="X156" s="7"/>
    </row>
    <row r="157" spans="1:24" ht="20.100000000000001" customHeight="1" x14ac:dyDescent="0.3">
      <c r="A157" s="12" t="s">
        <v>139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6"/>
      <c r="N157" s="6"/>
      <c r="O157" s="6"/>
      <c r="P157" s="7"/>
      <c r="Q157" s="7"/>
      <c r="R157" s="7"/>
      <c r="S157" s="7"/>
      <c r="T157" s="7"/>
      <c r="U157" s="6"/>
      <c r="V157" s="7"/>
      <c r="X157" s="7"/>
    </row>
    <row r="158" spans="1:24" ht="20.100000000000001" customHeight="1" x14ac:dyDescent="0.3">
      <c r="A158" s="67" t="s">
        <v>137</v>
      </c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6"/>
      <c r="N158" s="6"/>
      <c r="O158" s="6"/>
      <c r="P158" s="21">
        <f>P46</f>
        <v>481360</v>
      </c>
      <c r="Q158" s="21">
        <f>Q46</f>
        <v>530550.44799999997</v>
      </c>
      <c r="R158" s="21">
        <f>SUM(R54:R157)/2</f>
        <v>599521</v>
      </c>
      <c r="S158" s="21">
        <f>SUM(S54:S157)/2</f>
        <v>-68970.551999999996</v>
      </c>
      <c r="T158" s="21">
        <f>SUM(T54:T157)/2</f>
        <v>596500</v>
      </c>
      <c r="U158" s="6"/>
      <c r="V158" s="77">
        <f>SUM(V52:V157)/2</f>
        <v>687426</v>
      </c>
      <c r="X158" s="77">
        <f>SUM(X52:X157)/2</f>
        <v>812901</v>
      </c>
    </row>
    <row r="159" spans="1:24" ht="20.100000000000001" customHeight="1" x14ac:dyDescent="0.3">
      <c r="A159" s="14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6"/>
      <c r="N159" s="6"/>
      <c r="O159" s="6"/>
      <c r="P159" s="7"/>
      <c r="Q159" s="7"/>
      <c r="R159" s="7"/>
      <c r="S159" s="7"/>
      <c r="T159" s="7"/>
      <c r="U159" s="6"/>
      <c r="V159" s="7"/>
      <c r="X159" s="7"/>
    </row>
    <row r="160" spans="1:24" ht="20.100000000000001" customHeight="1" x14ac:dyDescent="0.3">
      <c r="A160" s="68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"/>
      <c r="N160" s="6"/>
      <c r="O160" s="6"/>
      <c r="P160" s="7"/>
      <c r="Q160" s="7"/>
      <c r="R160" s="7"/>
      <c r="S160" s="7">
        <f>Q158-R158</f>
        <v>-68970.552000000025</v>
      </c>
      <c r="T160" s="7"/>
      <c r="U160" s="6"/>
      <c r="V160" s="7"/>
      <c r="X160" s="7"/>
    </row>
    <row r="161" spans="1:12" ht="20.100000000000001" customHeight="1" x14ac:dyDescent="0.3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ht="20.100000000000001" customHeight="1" x14ac:dyDescent="0.3">
      <c r="A162" s="1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</sheetData>
  <sheetProtection selectLockedCells="1" selectUnlockedCells="1"/>
  <pageMargins left="0.2" right="0.2" top="2" bottom="0.5" header="0.3" footer="0.3"/>
  <pageSetup scale="81" orientation="portrait" r:id="rId1"/>
  <headerFooter>
    <oddHeader>&amp;C&amp;"-,Bold Italic"&amp;12City of Coolidge
2022
Adopted Budget
General</oddHeader>
    <oddFooter>&amp;R&amp;P</oddFooter>
  </headerFooter>
  <rowBreaks count="6" manualBreakCount="6">
    <brk id="23" max="16" man="1"/>
    <brk id="48" max="16383" man="1"/>
    <brk id="66" max="16383" man="1"/>
    <brk id="96" max="16383" man="1"/>
    <brk id="120" max="16383" man="1"/>
    <brk id="1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C0B5A-D913-4084-8409-0805F1A21767}">
  <dimension ref="A1:N20"/>
  <sheetViews>
    <sheetView zoomScaleNormal="100" workbookViewId="0">
      <pane ySplit="1" topLeftCell="A2" activePane="bottomLeft" state="frozen"/>
      <selection activeCell="H10" sqref="H10"/>
      <selection pane="bottomLeft" activeCell="J24" sqref="J24"/>
    </sheetView>
  </sheetViews>
  <sheetFormatPr defaultRowHeight="14.4" x14ac:dyDescent="0.3"/>
  <cols>
    <col min="1" max="1" width="12.6640625" customWidth="1"/>
    <col min="2" max="8" width="12.6640625" style="49" customWidth="1"/>
    <col min="9" max="9" width="11.109375" style="48" customWidth="1"/>
    <col min="10" max="10" width="12.6640625" style="48" customWidth="1"/>
    <col min="11" max="11" width="9.33203125" style="48" customWidth="1"/>
    <col min="12" max="12" width="12.88671875" style="48" customWidth="1"/>
    <col min="14" max="14" width="10.109375" bestFit="1" customWidth="1"/>
  </cols>
  <sheetData>
    <row r="1" spans="1:14" x14ac:dyDescent="0.3">
      <c r="B1" s="49" t="s">
        <v>131</v>
      </c>
      <c r="C1" s="49" t="s">
        <v>132</v>
      </c>
      <c r="D1" s="49" t="s">
        <v>133</v>
      </c>
      <c r="E1" s="49" t="s">
        <v>134</v>
      </c>
      <c r="F1" s="49" t="s">
        <v>135</v>
      </c>
      <c r="G1" s="49" t="s">
        <v>136</v>
      </c>
      <c r="H1" s="51" t="s">
        <v>138</v>
      </c>
      <c r="J1" s="52">
        <v>7.6499999999999999E-2</v>
      </c>
      <c r="L1" s="51" t="s">
        <v>137</v>
      </c>
    </row>
    <row r="3" spans="1:14" x14ac:dyDescent="0.3">
      <c r="A3" t="s">
        <v>126</v>
      </c>
      <c r="B3" s="49">
        <v>18</v>
      </c>
      <c r="C3" s="50">
        <f>60*52</f>
        <v>3120</v>
      </c>
      <c r="D3" s="49">
        <f>B3*C3</f>
        <v>56160</v>
      </c>
      <c r="F3" s="50"/>
      <c r="H3" s="49">
        <f>D3+G3</f>
        <v>56160</v>
      </c>
      <c r="J3" s="48">
        <f>H3*J1</f>
        <v>4296.24</v>
      </c>
      <c r="L3" s="48">
        <f>H3+J3</f>
        <v>60456.24</v>
      </c>
    </row>
    <row r="4" spans="1:14" x14ac:dyDescent="0.3">
      <c r="C4" s="50"/>
      <c r="F4" s="50"/>
    </row>
    <row r="5" spans="1:14" x14ac:dyDescent="0.3">
      <c r="A5" t="s">
        <v>129</v>
      </c>
      <c r="B5" s="49">
        <v>18</v>
      </c>
      <c r="C5" s="50">
        <f>48*52</f>
        <v>2496</v>
      </c>
      <c r="D5" s="49">
        <f>B5*C5</f>
        <v>44928</v>
      </c>
      <c r="F5" s="50"/>
      <c r="H5" s="49">
        <f>D5+G5</f>
        <v>44928</v>
      </c>
      <c r="J5" s="48">
        <f>H5*J1</f>
        <v>3436.9919999999997</v>
      </c>
      <c r="L5" s="48">
        <f>H5+J5</f>
        <v>48364.991999999998</v>
      </c>
    </row>
    <row r="6" spans="1:14" x14ac:dyDescent="0.3">
      <c r="C6" s="50"/>
      <c r="F6" s="50"/>
    </row>
    <row r="7" spans="1:14" x14ac:dyDescent="0.3">
      <c r="A7" t="s">
        <v>130</v>
      </c>
      <c r="B7" s="49">
        <v>16</v>
      </c>
      <c r="C7" s="50">
        <f>48*52</f>
        <v>2496</v>
      </c>
      <c r="D7" s="49">
        <f>B7*C7</f>
        <v>39936</v>
      </c>
      <c r="F7" s="50"/>
      <c r="H7" s="49">
        <f>D7+G7</f>
        <v>39936</v>
      </c>
      <c r="I7" s="48">
        <f>SUM(H3:H7)</f>
        <v>141024</v>
      </c>
      <c r="J7" s="48">
        <f>H7*J1</f>
        <v>3055.1039999999998</v>
      </c>
      <c r="K7" s="48">
        <f>SUM(J3:J7)</f>
        <v>10788.335999999999</v>
      </c>
      <c r="L7" s="48">
        <f>H7+J7</f>
        <v>42991.103999999999</v>
      </c>
      <c r="N7" s="48">
        <f>SUM(L3:L7)</f>
        <v>151812.33599999998</v>
      </c>
    </row>
    <row r="8" spans="1:14" x14ac:dyDescent="0.3">
      <c r="C8" s="50"/>
      <c r="F8" s="50"/>
      <c r="N8" s="48"/>
    </row>
    <row r="9" spans="1:14" x14ac:dyDescent="0.3">
      <c r="C9" s="50"/>
      <c r="F9" s="50"/>
    </row>
    <row r="10" spans="1:14" x14ac:dyDescent="0.3">
      <c r="A10" t="s">
        <v>127</v>
      </c>
      <c r="B10" s="49">
        <v>15</v>
      </c>
      <c r="C10" s="50">
        <v>2080</v>
      </c>
      <c r="D10" s="49">
        <f>B10*C10</f>
        <v>31200</v>
      </c>
      <c r="E10" s="49">
        <f>B10*1.5</f>
        <v>22.5</v>
      </c>
      <c r="F10" s="50">
        <f>2*50</f>
        <v>100</v>
      </c>
      <c r="G10" s="49">
        <f>E10*F10</f>
        <v>2250</v>
      </c>
      <c r="H10" s="49">
        <f>D10+G10</f>
        <v>33450</v>
      </c>
      <c r="J10" s="48">
        <f>H10*J1</f>
        <v>2558.9249999999997</v>
      </c>
      <c r="L10" s="48">
        <f>H10+J10</f>
        <v>36008.925000000003</v>
      </c>
    </row>
    <row r="11" spans="1:14" x14ac:dyDescent="0.3">
      <c r="C11" s="50"/>
      <c r="F11" s="50"/>
    </row>
    <row r="12" spans="1:14" x14ac:dyDescent="0.3">
      <c r="A12" t="s">
        <v>128</v>
      </c>
      <c r="B12" s="49">
        <v>19</v>
      </c>
      <c r="C12" s="50">
        <v>2080</v>
      </c>
      <c r="D12" s="49">
        <f>B12*C12</f>
        <v>39520</v>
      </c>
      <c r="E12" s="49">
        <f>B12*1.5</f>
        <v>28.5</v>
      </c>
      <c r="F12" s="50"/>
      <c r="G12" s="49">
        <f>E12*F12</f>
        <v>0</v>
      </c>
      <c r="H12" s="49">
        <f>D12+G12</f>
        <v>39520</v>
      </c>
      <c r="I12" s="48">
        <f>SUM(H10:H12)</f>
        <v>72970</v>
      </c>
      <c r="J12" s="48">
        <f>H12*J1</f>
        <v>3023.2799999999997</v>
      </c>
      <c r="K12" s="48">
        <f>SUM(J10:J12)</f>
        <v>5582.2049999999999</v>
      </c>
      <c r="L12" s="48">
        <f>H12+J12</f>
        <v>42543.28</v>
      </c>
      <c r="N12" s="48">
        <f>SUM(L10:L12)</f>
        <v>78552.205000000002</v>
      </c>
    </row>
    <row r="13" spans="1:14" x14ac:dyDescent="0.3">
      <c r="C13" s="50"/>
      <c r="F13" s="50"/>
      <c r="N13" s="48"/>
    </row>
    <row r="14" spans="1:14" x14ac:dyDescent="0.3">
      <c r="C14" s="50"/>
      <c r="F14" s="50"/>
    </row>
    <row r="15" spans="1:14" x14ac:dyDescent="0.3">
      <c r="A15" t="s">
        <v>142</v>
      </c>
      <c r="B15" s="49">
        <v>12</v>
      </c>
      <c r="C15" s="50">
        <v>2080</v>
      </c>
      <c r="D15" s="49">
        <f>B15*C15</f>
        <v>24960</v>
      </c>
      <c r="E15" s="49">
        <f>12*1.5</f>
        <v>18</v>
      </c>
      <c r="F15" s="50">
        <v>50</v>
      </c>
      <c r="G15" s="49">
        <f>E15*F15</f>
        <v>900</v>
      </c>
      <c r="H15" s="49">
        <f>D15+G15</f>
        <v>25860</v>
      </c>
      <c r="J15" s="48">
        <f>H15*J1</f>
        <v>1978.29</v>
      </c>
      <c r="L15" s="48">
        <f>H15+J15</f>
        <v>27838.29</v>
      </c>
    </row>
    <row r="16" spans="1:14" x14ac:dyDescent="0.3">
      <c r="C16" s="50"/>
      <c r="F16" s="50"/>
    </row>
    <row r="17" spans="1:12" x14ac:dyDescent="0.3">
      <c r="C17" s="50"/>
      <c r="F17" s="50"/>
    </row>
    <row r="18" spans="1:12" x14ac:dyDescent="0.3">
      <c r="A18" t="s">
        <v>141</v>
      </c>
      <c r="B18" s="49">
        <v>14</v>
      </c>
      <c r="C18" s="50">
        <v>2080</v>
      </c>
      <c r="D18" s="49">
        <f>B18*C18</f>
        <v>29120</v>
      </c>
      <c r="E18" s="49">
        <f>14*1.5</f>
        <v>21</v>
      </c>
      <c r="F18" s="50">
        <v>100</v>
      </c>
      <c r="G18" s="49">
        <f>E18*F18</f>
        <v>2100</v>
      </c>
      <c r="H18" s="49">
        <f>D18+G18</f>
        <v>31220</v>
      </c>
      <c r="J18" s="48">
        <f>H18*J1</f>
        <v>2388.33</v>
      </c>
      <c r="L18" s="48">
        <f>H18+J18</f>
        <v>33608.33</v>
      </c>
    </row>
    <row r="19" spans="1:12" x14ac:dyDescent="0.3">
      <c r="C19" s="50"/>
      <c r="F19" s="50"/>
    </row>
    <row r="20" spans="1:12" x14ac:dyDescent="0.3">
      <c r="A20" t="s">
        <v>143</v>
      </c>
      <c r="B20" s="49">
        <v>12</v>
      </c>
      <c r="C20" s="50">
        <v>2080</v>
      </c>
      <c r="D20" s="49">
        <f>B20*C20</f>
        <v>24960</v>
      </c>
      <c r="E20" s="49">
        <f>12*1.5</f>
        <v>18</v>
      </c>
      <c r="F20" s="50">
        <f>2*50</f>
        <v>100</v>
      </c>
      <c r="G20" s="49">
        <f>E20*F20</f>
        <v>1800</v>
      </c>
      <c r="H20" s="49">
        <f>D20+G20</f>
        <v>26760</v>
      </c>
      <c r="J20" s="48">
        <f>H20*J1</f>
        <v>2047.1399999999999</v>
      </c>
      <c r="L20" s="48">
        <f>H20+J20</f>
        <v>28807.14</v>
      </c>
    </row>
  </sheetData>
  <pageMargins left="0.7" right="0.7" top="0.75" bottom="0.75" header="0.3" footer="0.3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EE04B-A01C-4A99-BB75-22962D2F92FA}">
  <dimension ref="A1:Z171"/>
  <sheetViews>
    <sheetView zoomScale="90" zoomScaleNormal="90" zoomScaleSheetLayoutView="70" workbookViewId="0">
      <pane ySplit="1" topLeftCell="A32" activePane="bottomLeft" state="frozen"/>
      <selection activeCell="H10" sqref="H10"/>
      <selection pane="bottomLeft" activeCell="S3" sqref="S3"/>
    </sheetView>
  </sheetViews>
  <sheetFormatPr defaultRowHeight="20.100000000000001" customHeight="1" x14ac:dyDescent="0.3"/>
  <cols>
    <col min="1" max="1" width="24.6640625" customWidth="1"/>
    <col min="2" max="12" width="15.6640625" style="5" hidden="1" customWidth="1"/>
    <col min="13" max="15" width="15.6640625" hidden="1" customWidth="1"/>
    <col min="16" max="16" width="14.5546875" style="5" customWidth="1"/>
    <col min="17" max="17" width="16.33203125" style="5" customWidth="1"/>
    <col min="18" max="18" width="20.5546875" style="5" customWidth="1"/>
    <col min="19" max="20" width="19.109375" style="5" customWidth="1"/>
    <col min="21" max="21" width="8" customWidth="1"/>
    <col min="22" max="22" width="23.5546875" style="5" customWidth="1"/>
  </cols>
  <sheetData>
    <row r="1" spans="1:22" ht="39" customHeight="1" x14ac:dyDescent="0.3">
      <c r="A1" s="19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0"/>
      <c r="N1" s="20"/>
      <c r="O1" s="22" t="s">
        <v>124</v>
      </c>
      <c r="P1" s="25" t="s">
        <v>123</v>
      </c>
      <c r="Q1" s="53" t="s">
        <v>140</v>
      </c>
      <c r="R1" s="60" t="s">
        <v>147</v>
      </c>
      <c r="S1" s="83" t="s">
        <v>151</v>
      </c>
      <c r="T1" s="60" t="s">
        <v>148</v>
      </c>
      <c r="U1" s="6"/>
      <c r="V1" s="77" t="s">
        <v>150</v>
      </c>
    </row>
    <row r="2" spans="1:22" s="18" customFormat="1" ht="20.100000000000001" customHeight="1" x14ac:dyDescent="0.3">
      <c r="A2" s="17"/>
      <c r="B2" s="16" t="s">
        <v>97</v>
      </c>
      <c r="C2" s="16" t="s">
        <v>98</v>
      </c>
      <c r="D2" s="16" t="s">
        <v>99</v>
      </c>
      <c r="E2" s="16" t="s">
        <v>100</v>
      </c>
      <c r="F2" s="16" t="s">
        <v>101</v>
      </c>
      <c r="G2" s="16" t="s">
        <v>102</v>
      </c>
      <c r="H2" s="16" t="s">
        <v>103</v>
      </c>
      <c r="I2" s="16" t="s">
        <v>104</v>
      </c>
      <c r="J2" s="16" t="s">
        <v>105</v>
      </c>
      <c r="K2" s="16" t="s">
        <v>106</v>
      </c>
      <c r="L2" s="16" t="s">
        <v>107</v>
      </c>
      <c r="M2" s="17" t="s">
        <v>108</v>
      </c>
      <c r="N2" s="17"/>
      <c r="O2" s="17"/>
      <c r="P2" s="21"/>
      <c r="Q2" s="55"/>
      <c r="R2" s="21"/>
      <c r="S2" s="21"/>
      <c r="T2" s="21"/>
      <c r="U2" s="17"/>
      <c r="V2" s="21"/>
    </row>
    <row r="3" spans="1:22" ht="20.100000000000001" customHeight="1" x14ac:dyDescent="0.3">
      <c r="A3" s="32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6"/>
      <c r="N3" s="6"/>
      <c r="O3" s="6"/>
      <c r="P3" s="7"/>
      <c r="Q3" s="7"/>
      <c r="R3" s="7"/>
      <c r="S3" s="7"/>
      <c r="T3" s="7"/>
      <c r="U3" s="6"/>
      <c r="V3" s="7"/>
    </row>
    <row r="4" spans="1:22" ht="20.100000000000001" customHeight="1" x14ac:dyDescent="0.3">
      <c r="A4" s="8" t="s">
        <v>2</v>
      </c>
      <c r="B4" s="9"/>
      <c r="C4" s="9"/>
      <c r="D4" s="9">
        <v>9581</v>
      </c>
      <c r="E4" s="9">
        <v>32008</v>
      </c>
      <c r="F4" s="9">
        <v>65883</v>
      </c>
      <c r="G4" s="9">
        <v>1886</v>
      </c>
      <c r="H4" s="9">
        <v>3418</v>
      </c>
      <c r="I4" s="9">
        <v>4281</v>
      </c>
      <c r="J4" s="9">
        <v>466</v>
      </c>
      <c r="K4" s="9">
        <v>975</v>
      </c>
      <c r="L4" s="9"/>
      <c r="M4" s="6"/>
      <c r="N4" s="6"/>
      <c r="O4" s="7">
        <f>SUM(B4:N4)</f>
        <v>118498</v>
      </c>
      <c r="P4" s="23">
        <v>116495</v>
      </c>
      <c r="Q4" s="54">
        <f>109744-271</f>
        <v>109473</v>
      </c>
      <c r="R4" s="7">
        <v>110578</v>
      </c>
      <c r="S4" s="61">
        <f>Q4-R4</f>
        <v>-1105</v>
      </c>
      <c r="T4" s="61"/>
      <c r="U4" s="6"/>
      <c r="V4" s="78">
        <v>113087</v>
      </c>
    </row>
    <row r="5" spans="1:22" ht="20.100000000000001" customHeight="1" x14ac:dyDescent="0.3">
      <c r="A5" s="8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7">
        <f t="shared" ref="O5:O38" si="0">SUM(B5:N5)</f>
        <v>0</v>
      </c>
      <c r="P5" s="23">
        <v>6400</v>
      </c>
      <c r="Q5" s="54">
        <f>6869-17</f>
        <v>6852</v>
      </c>
      <c r="R5" s="7">
        <v>4091</v>
      </c>
      <c r="S5" s="61">
        <f t="shared" ref="S5:S36" si="1">Q5-R5</f>
        <v>2761</v>
      </c>
      <c r="T5" s="61"/>
      <c r="U5" s="6"/>
      <c r="V5" s="78">
        <v>7110</v>
      </c>
    </row>
    <row r="6" spans="1:22" ht="20.100000000000001" customHeight="1" x14ac:dyDescent="0.3">
      <c r="A6" s="8" t="s">
        <v>109</v>
      </c>
      <c r="B6" s="9">
        <v>85</v>
      </c>
      <c r="C6" s="9">
        <v>177</v>
      </c>
      <c r="D6" s="9">
        <v>52</v>
      </c>
      <c r="E6" s="9">
        <v>86</v>
      </c>
      <c r="F6" s="9">
        <v>88</v>
      </c>
      <c r="G6" s="9"/>
      <c r="H6" s="9"/>
      <c r="I6" s="9"/>
      <c r="J6" s="9"/>
      <c r="K6" s="9"/>
      <c r="L6" s="9"/>
      <c r="M6" s="6"/>
      <c r="N6" s="6"/>
      <c r="O6" s="7">
        <f t="shared" si="0"/>
        <v>488</v>
      </c>
      <c r="P6" s="23">
        <v>0</v>
      </c>
      <c r="Q6" s="54">
        <v>0</v>
      </c>
      <c r="R6" s="7"/>
      <c r="S6" s="61">
        <f t="shared" si="1"/>
        <v>0</v>
      </c>
      <c r="T6" s="61"/>
      <c r="U6" s="6"/>
      <c r="V6" s="78">
        <v>0</v>
      </c>
    </row>
    <row r="7" spans="1:22" ht="20.100000000000001" customHeight="1" x14ac:dyDescent="0.3">
      <c r="A7" s="8" t="s">
        <v>4</v>
      </c>
      <c r="B7" s="9">
        <v>3663.7</v>
      </c>
      <c r="C7" s="9">
        <v>323</v>
      </c>
      <c r="D7" s="9">
        <v>100</v>
      </c>
      <c r="E7" s="9">
        <v>346</v>
      </c>
      <c r="F7" s="9">
        <v>84</v>
      </c>
      <c r="G7" s="9">
        <v>59</v>
      </c>
      <c r="H7" s="9"/>
      <c r="I7" s="9">
        <v>11</v>
      </c>
      <c r="J7" s="9"/>
      <c r="K7" s="9"/>
      <c r="L7" s="9"/>
      <c r="M7" s="6"/>
      <c r="N7" s="6"/>
      <c r="O7" s="7">
        <f t="shared" si="0"/>
        <v>4586.7</v>
      </c>
      <c r="P7" s="23">
        <v>5802</v>
      </c>
      <c r="Q7" s="54">
        <f>2088-5</f>
        <v>2083</v>
      </c>
      <c r="R7" s="7">
        <v>6140</v>
      </c>
      <c r="S7" s="61">
        <f t="shared" si="1"/>
        <v>-4057</v>
      </c>
      <c r="T7" s="61"/>
      <c r="U7" s="6"/>
      <c r="V7" s="78">
        <v>4725</v>
      </c>
    </row>
    <row r="8" spans="1:22" ht="20.100000000000001" customHeight="1" x14ac:dyDescent="0.3">
      <c r="A8" s="8" t="s">
        <v>5</v>
      </c>
      <c r="B8" s="9">
        <v>738</v>
      </c>
      <c r="C8" s="9">
        <v>1110</v>
      </c>
      <c r="D8" s="9">
        <v>1162</v>
      </c>
      <c r="E8" s="9">
        <v>461</v>
      </c>
      <c r="F8" s="9">
        <v>442</v>
      </c>
      <c r="G8" s="9">
        <v>558</v>
      </c>
      <c r="H8" s="9">
        <v>234</v>
      </c>
      <c r="I8" s="9">
        <v>720</v>
      </c>
      <c r="J8" s="9">
        <v>692</v>
      </c>
      <c r="K8" s="9">
        <v>425</v>
      </c>
      <c r="L8" s="9">
        <v>702</v>
      </c>
      <c r="M8" s="6"/>
      <c r="N8" s="6"/>
      <c r="O8" s="7">
        <f t="shared" si="0"/>
        <v>7244</v>
      </c>
      <c r="P8" s="23">
        <v>8000</v>
      </c>
      <c r="Q8" s="54">
        <v>8000</v>
      </c>
      <c r="R8" s="7">
        <v>16060</v>
      </c>
      <c r="S8" s="61">
        <f t="shared" si="1"/>
        <v>-8060</v>
      </c>
      <c r="T8" s="61"/>
      <c r="U8" s="6"/>
      <c r="V8" s="23">
        <v>16000</v>
      </c>
    </row>
    <row r="9" spans="1:22" ht="20.100000000000001" customHeight="1" x14ac:dyDescent="0.3">
      <c r="A9" s="8" t="s">
        <v>6</v>
      </c>
      <c r="B9" s="9">
        <v>150</v>
      </c>
      <c r="C9" s="9"/>
      <c r="D9" s="9">
        <v>22</v>
      </c>
      <c r="E9" s="9"/>
      <c r="F9" s="9"/>
      <c r="G9" s="9"/>
      <c r="H9" s="9">
        <v>41</v>
      </c>
      <c r="I9" s="9"/>
      <c r="J9" s="9">
        <v>975</v>
      </c>
      <c r="K9" s="9">
        <v>703</v>
      </c>
      <c r="L9" s="9">
        <v>157</v>
      </c>
      <c r="M9" s="6"/>
      <c r="N9" s="6"/>
      <c r="O9" s="7">
        <f t="shared" si="0"/>
        <v>2048</v>
      </c>
      <c r="P9" s="23">
        <v>2539</v>
      </c>
      <c r="Q9" s="54">
        <f>2405-6</f>
        <v>2399</v>
      </c>
      <c r="R9" s="7">
        <v>3096</v>
      </c>
      <c r="S9" s="61">
        <f t="shared" si="1"/>
        <v>-697</v>
      </c>
      <c r="T9" s="61"/>
      <c r="U9" s="6"/>
      <c r="V9" s="78">
        <v>2916</v>
      </c>
    </row>
    <row r="10" spans="1:22" ht="20.100000000000001" customHeight="1" x14ac:dyDescent="0.3">
      <c r="A10" s="8" t="s">
        <v>7</v>
      </c>
      <c r="B10" s="9">
        <v>6</v>
      </c>
      <c r="C10" s="9"/>
      <c r="D10" s="9"/>
      <c r="E10" s="9"/>
      <c r="F10" s="9"/>
      <c r="G10" s="9">
        <v>22</v>
      </c>
      <c r="H10" s="9"/>
      <c r="I10" s="9">
        <v>233</v>
      </c>
      <c r="J10" s="9">
        <v>262</v>
      </c>
      <c r="K10" s="9"/>
      <c r="L10" s="9"/>
      <c r="M10" s="6"/>
      <c r="N10" s="6"/>
      <c r="O10" s="7">
        <f t="shared" si="0"/>
        <v>523</v>
      </c>
      <c r="P10" s="23">
        <v>250</v>
      </c>
      <c r="Q10" s="54">
        <v>175</v>
      </c>
      <c r="R10" s="7">
        <v>1419</v>
      </c>
      <c r="S10" s="61">
        <f t="shared" si="1"/>
        <v>-1244</v>
      </c>
      <c r="T10" s="61"/>
      <c r="U10" s="6"/>
      <c r="V10" s="78">
        <v>240</v>
      </c>
    </row>
    <row r="11" spans="1:22" ht="20.100000000000001" customHeight="1" x14ac:dyDescent="0.3">
      <c r="A11" s="8" t="s">
        <v>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"/>
      <c r="N11" s="6"/>
      <c r="O11" s="7">
        <f t="shared" si="0"/>
        <v>0</v>
      </c>
      <c r="P11" s="23">
        <v>1226</v>
      </c>
      <c r="Q11" s="54">
        <v>1000</v>
      </c>
      <c r="R11" s="7">
        <v>1312</v>
      </c>
      <c r="S11" s="61">
        <f t="shared" si="1"/>
        <v>-312</v>
      </c>
      <c r="T11" s="61"/>
      <c r="U11" s="6"/>
      <c r="V11" s="78">
        <v>1000</v>
      </c>
    </row>
    <row r="12" spans="1:22" ht="20.100000000000001" customHeight="1" x14ac:dyDescent="0.3">
      <c r="A12" s="8" t="s">
        <v>9</v>
      </c>
      <c r="B12" s="9"/>
      <c r="C12" s="9"/>
      <c r="D12" s="9"/>
      <c r="E12" s="9"/>
      <c r="F12" s="9">
        <v>82</v>
      </c>
      <c r="G12" s="9">
        <v>20</v>
      </c>
      <c r="H12" s="9">
        <v>19</v>
      </c>
      <c r="I12" s="9">
        <v>82</v>
      </c>
      <c r="J12" s="9"/>
      <c r="K12" s="9"/>
      <c r="L12" s="9"/>
      <c r="M12" s="6"/>
      <c r="N12" s="6"/>
      <c r="O12" s="7">
        <f t="shared" si="0"/>
        <v>203</v>
      </c>
      <c r="P12" s="23">
        <v>500</v>
      </c>
      <c r="Q12" s="54">
        <v>400</v>
      </c>
      <c r="R12" s="7">
        <v>510</v>
      </c>
      <c r="S12" s="61">
        <f t="shared" si="1"/>
        <v>-110</v>
      </c>
      <c r="T12" s="61"/>
      <c r="U12" s="6"/>
      <c r="V12" s="78">
        <v>500</v>
      </c>
    </row>
    <row r="13" spans="1:22" ht="20.100000000000001" customHeight="1" x14ac:dyDescent="0.3">
      <c r="A13" s="8" t="s">
        <v>10</v>
      </c>
      <c r="B13" s="9"/>
      <c r="C13" s="9"/>
      <c r="D13" s="9"/>
      <c r="E13" s="9"/>
      <c r="F13" s="9"/>
      <c r="G13" s="9"/>
      <c r="H13" s="9">
        <v>25750</v>
      </c>
      <c r="I13" s="9"/>
      <c r="J13" s="9"/>
      <c r="K13" s="9"/>
      <c r="L13" s="9"/>
      <c r="M13" s="6"/>
      <c r="N13" s="6"/>
      <c r="O13" s="7">
        <f t="shared" si="0"/>
        <v>25750</v>
      </c>
      <c r="P13" s="23">
        <v>27500</v>
      </c>
      <c r="Q13" s="54">
        <v>27200</v>
      </c>
      <c r="R13" s="7">
        <v>26150</v>
      </c>
      <c r="S13" s="61">
        <f t="shared" si="1"/>
        <v>1050</v>
      </c>
      <c r="T13" s="61"/>
      <c r="U13" s="6"/>
      <c r="V13" s="78">
        <v>26150</v>
      </c>
    </row>
    <row r="14" spans="1:22" ht="20.100000000000001" customHeight="1" x14ac:dyDescent="0.3">
      <c r="A14" s="8" t="s">
        <v>11</v>
      </c>
      <c r="B14" s="9">
        <v>198</v>
      </c>
      <c r="C14" s="9">
        <v>190</v>
      </c>
      <c r="D14" s="9">
        <v>304</v>
      </c>
      <c r="E14" s="9"/>
      <c r="F14" s="9"/>
      <c r="G14" s="9"/>
      <c r="H14" s="9"/>
      <c r="I14" s="9"/>
      <c r="J14" s="9"/>
      <c r="K14" s="9"/>
      <c r="L14" s="9"/>
      <c r="M14" s="6"/>
      <c r="N14" s="6"/>
      <c r="O14" s="7">
        <f t="shared" si="0"/>
        <v>692</v>
      </c>
      <c r="P14" s="23">
        <v>2000</v>
      </c>
      <c r="Q14" s="54">
        <v>1650</v>
      </c>
      <c r="R14" s="7"/>
      <c r="S14" s="61">
        <f t="shared" si="1"/>
        <v>1650</v>
      </c>
      <c r="T14" s="61"/>
      <c r="U14" s="6"/>
      <c r="V14" s="78">
        <v>0</v>
      </c>
    </row>
    <row r="15" spans="1:22" ht="20.100000000000001" customHeight="1" x14ac:dyDescent="0.3">
      <c r="A15" s="8" t="s">
        <v>12</v>
      </c>
      <c r="B15" s="9">
        <v>506</v>
      </c>
      <c r="C15" s="9"/>
      <c r="D15" s="9">
        <v>500</v>
      </c>
      <c r="E15" s="9"/>
      <c r="F15" s="9"/>
      <c r="G15" s="9">
        <v>510</v>
      </c>
      <c r="H15" s="9"/>
      <c r="I15" s="9"/>
      <c r="J15" s="9">
        <v>534</v>
      </c>
      <c r="K15" s="9"/>
      <c r="L15" s="9"/>
      <c r="M15" s="6"/>
      <c r="N15" s="6"/>
      <c r="O15" s="7">
        <f t="shared" si="0"/>
        <v>2050</v>
      </c>
      <c r="P15" s="23">
        <v>2000</v>
      </c>
      <c r="Q15" s="54">
        <v>2000</v>
      </c>
      <c r="R15" s="7">
        <v>2216</v>
      </c>
      <c r="S15" s="61">
        <f t="shared" si="1"/>
        <v>-216</v>
      </c>
      <c r="T15" s="61"/>
      <c r="U15" s="6"/>
      <c r="V15" s="78">
        <v>2000</v>
      </c>
    </row>
    <row r="16" spans="1:22" ht="20.100000000000001" customHeight="1" x14ac:dyDescent="0.3">
      <c r="A16" s="8" t="s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"/>
      <c r="N16" s="6"/>
      <c r="O16" s="7">
        <f t="shared" si="0"/>
        <v>0</v>
      </c>
      <c r="P16" s="23">
        <v>3500</v>
      </c>
      <c r="Q16" s="54">
        <v>2900</v>
      </c>
      <c r="R16" s="7"/>
      <c r="S16" s="61">
        <f t="shared" si="1"/>
        <v>2900</v>
      </c>
      <c r="T16" s="61"/>
      <c r="U16" s="6"/>
      <c r="V16" s="78"/>
    </row>
    <row r="17" spans="1:22" ht="20.100000000000001" customHeight="1" x14ac:dyDescent="0.3">
      <c r="A17" s="8" t="s">
        <v>14</v>
      </c>
      <c r="B17" s="9">
        <v>4586</v>
      </c>
      <c r="C17" s="9">
        <v>4320</v>
      </c>
      <c r="D17" s="9">
        <v>4293</v>
      </c>
      <c r="E17" s="9">
        <v>4424</v>
      </c>
      <c r="F17" s="9">
        <v>4429</v>
      </c>
      <c r="G17" s="9"/>
      <c r="H17" s="9">
        <v>4678</v>
      </c>
      <c r="I17" s="9">
        <v>4349</v>
      </c>
      <c r="J17" s="9">
        <v>5006</v>
      </c>
      <c r="K17" s="9">
        <v>4280</v>
      </c>
      <c r="L17" s="9">
        <v>4722</v>
      </c>
      <c r="M17" s="6"/>
      <c r="N17" s="6"/>
      <c r="O17" s="7">
        <f t="shared" si="0"/>
        <v>45087</v>
      </c>
      <c r="P17" s="23">
        <v>50000</v>
      </c>
      <c r="Q17" s="54">
        <v>54000</v>
      </c>
      <c r="R17" s="7">
        <v>66521</v>
      </c>
      <c r="S17" s="61">
        <f t="shared" si="1"/>
        <v>-12521</v>
      </c>
      <c r="T17" s="61"/>
      <c r="U17" s="6"/>
      <c r="V17" s="78">
        <v>54000</v>
      </c>
    </row>
    <row r="18" spans="1:22" ht="20.100000000000001" customHeight="1" x14ac:dyDescent="0.3">
      <c r="A18" s="8" t="s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6"/>
      <c r="N18" s="6"/>
      <c r="O18" s="7">
        <f t="shared" si="0"/>
        <v>0</v>
      </c>
      <c r="P18" s="23">
        <v>5000</v>
      </c>
      <c r="Q18" s="54">
        <v>3000</v>
      </c>
      <c r="R18" s="7"/>
      <c r="S18" s="61">
        <f t="shared" si="1"/>
        <v>3000</v>
      </c>
      <c r="T18" s="61"/>
      <c r="U18" s="6"/>
      <c r="V18" s="78"/>
    </row>
    <row r="19" spans="1:22" ht="20.100000000000001" customHeight="1" x14ac:dyDescent="0.3">
      <c r="A19" s="8" t="s">
        <v>16</v>
      </c>
      <c r="B19" s="9">
        <v>2742</v>
      </c>
      <c r="C19" s="9">
        <v>1840</v>
      </c>
      <c r="D19" s="9">
        <v>2107</v>
      </c>
      <c r="E19" s="9">
        <v>2513</v>
      </c>
      <c r="F19" s="9">
        <v>1618</v>
      </c>
      <c r="G19" s="9">
        <v>2168</v>
      </c>
      <c r="H19" s="9">
        <v>1736</v>
      </c>
      <c r="I19" s="9">
        <v>1708</v>
      </c>
      <c r="J19" s="9">
        <v>2763</v>
      </c>
      <c r="K19" s="9">
        <v>2321</v>
      </c>
      <c r="L19" s="9">
        <v>2849</v>
      </c>
      <c r="M19" s="6"/>
      <c r="N19" s="6"/>
      <c r="O19" s="7">
        <f t="shared" si="0"/>
        <v>24365</v>
      </c>
      <c r="P19" s="23">
        <v>21000</v>
      </c>
      <c r="Q19" s="54">
        <v>25000</v>
      </c>
      <c r="R19" s="7">
        <v>24500</v>
      </c>
      <c r="S19" s="61">
        <f t="shared" si="1"/>
        <v>500</v>
      </c>
      <c r="T19" s="61"/>
      <c r="U19" s="6"/>
      <c r="V19" s="78">
        <v>23800</v>
      </c>
    </row>
    <row r="20" spans="1:22" ht="20.100000000000001" customHeight="1" x14ac:dyDescent="0.3">
      <c r="A20" s="8" t="s">
        <v>17</v>
      </c>
      <c r="B20" s="9"/>
      <c r="C20" s="9"/>
      <c r="D20" s="9">
        <v>40199</v>
      </c>
      <c r="E20" s="9"/>
      <c r="F20" s="9"/>
      <c r="G20" s="9"/>
      <c r="H20" s="9"/>
      <c r="I20" s="9"/>
      <c r="J20" s="9"/>
      <c r="K20" s="9"/>
      <c r="L20" s="9"/>
      <c r="M20" s="6"/>
      <c r="N20" s="6"/>
      <c r="O20" s="7">
        <f t="shared" si="0"/>
        <v>40199</v>
      </c>
      <c r="P20" s="23">
        <v>40000</v>
      </c>
      <c r="Q20" s="54">
        <v>40000</v>
      </c>
      <c r="R20" s="7">
        <v>42565</v>
      </c>
      <c r="S20" s="61">
        <f t="shared" si="1"/>
        <v>-2565</v>
      </c>
      <c r="T20" s="61"/>
      <c r="U20" s="6"/>
      <c r="V20" s="78">
        <v>40000</v>
      </c>
    </row>
    <row r="21" spans="1:22" ht="20.100000000000001" customHeight="1" x14ac:dyDescent="0.3">
      <c r="A21" s="8" t="s">
        <v>18</v>
      </c>
      <c r="B21" s="9">
        <v>59</v>
      </c>
      <c r="C21" s="9">
        <v>93</v>
      </c>
      <c r="D21" s="9">
        <v>27</v>
      </c>
      <c r="E21" s="9">
        <v>48</v>
      </c>
      <c r="F21" s="9">
        <v>44</v>
      </c>
      <c r="G21" s="9">
        <v>53</v>
      </c>
      <c r="H21" s="9"/>
      <c r="I21" s="9">
        <v>42</v>
      </c>
      <c r="J21" s="9">
        <v>27</v>
      </c>
      <c r="K21" s="9">
        <v>106</v>
      </c>
      <c r="L21" s="9"/>
      <c r="M21" s="6"/>
      <c r="N21" s="6"/>
      <c r="O21" s="7">
        <f t="shared" si="0"/>
        <v>499</v>
      </c>
      <c r="P21" s="23">
        <v>500</v>
      </c>
      <c r="Q21" s="54">
        <v>500</v>
      </c>
      <c r="R21" s="7">
        <v>390</v>
      </c>
      <c r="S21" s="61">
        <f t="shared" si="1"/>
        <v>110</v>
      </c>
      <c r="T21" s="61"/>
      <c r="U21" s="6"/>
      <c r="V21" s="78">
        <v>450</v>
      </c>
    </row>
    <row r="22" spans="1:22" ht="20.100000000000001" customHeight="1" x14ac:dyDescent="0.3">
      <c r="A22" s="8" t="s">
        <v>19</v>
      </c>
      <c r="B22" s="9">
        <v>5</v>
      </c>
      <c r="C22" s="9">
        <v>20</v>
      </c>
      <c r="D22" s="9">
        <v>5</v>
      </c>
      <c r="E22" s="9"/>
      <c r="F22" s="9"/>
      <c r="G22" s="9">
        <v>20</v>
      </c>
      <c r="H22" s="9"/>
      <c r="I22" s="9">
        <v>15</v>
      </c>
      <c r="J22" s="9"/>
      <c r="K22" s="9">
        <v>20</v>
      </c>
      <c r="L22" s="9"/>
      <c r="M22" s="6"/>
      <c r="N22" s="6"/>
      <c r="O22" s="7">
        <f t="shared" si="0"/>
        <v>85</v>
      </c>
      <c r="P22" s="23">
        <v>100</v>
      </c>
      <c r="Q22" s="54">
        <v>100</v>
      </c>
      <c r="R22" s="7">
        <v>95</v>
      </c>
      <c r="S22" s="61">
        <f t="shared" si="1"/>
        <v>5</v>
      </c>
      <c r="T22" s="61"/>
      <c r="U22" s="6"/>
      <c r="V22" s="78">
        <v>100</v>
      </c>
    </row>
    <row r="23" spans="1:22" ht="20.100000000000001" customHeight="1" x14ac:dyDescent="0.3">
      <c r="A23" s="8" t="s">
        <v>125</v>
      </c>
      <c r="B23" s="9"/>
      <c r="C23" s="9"/>
      <c r="D23" s="9"/>
      <c r="E23" s="9">
        <v>1300</v>
      </c>
      <c r="F23" s="9"/>
      <c r="G23" s="9">
        <v>650</v>
      </c>
      <c r="H23" s="9"/>
      <c r="I23" s="9"/>
      <c r="J23" s="9"/>
      <c r="K23" s="9"/>
      <c r="L23" s="9"/>
      <c r="M23" s="6"/>
      <c r="N23" s="6"/>
      <c r="O23" s="7">
        <f t="shared" si="0"/>
        <v>1950</v>
      </c>
      <c r="P23" s="23">
        <v>1950</v>
      </c>
      <c r="Q23" s="54">
        <v>1950</v>
      </c>
      <c r="R23" s="7">
        <v>1300</v>
      </c>
      <c r="S23" s="61">
        <f t="shared" si="1"/>
        <v>650</v>
      </c>
      <c r="T23" s="61"/>
      <c r="U23" s="6"/>
      <c r="V23" s="78">
        <v>1300</v>
      </c>
    </row>
    <row r="24" spans="1:22" ht="20.100000000000001" customHeight="1" x14ac:dyDescent="0.3">
      <c r="A24" s="8" t="s">
        <v>20</v>
      </c>
      <c r="B24" s="9">
        <v>140</v>
      </c>
      <c r="C24" s="9"/>
      <c r="D24" s="9">
        <v>155</v>
      </c>
      <c r="E24" s="9">
        <v>541</v>
      </c>
      <c r="F24" s="9">
        <v>1065</v>
      </c>
      <c r="G24" s="9">
        <v>390</v>
      </c>
      <c r="H24" s="9">
        <v>110</v>
      </c>
      <c r="I24" s="9">
        <v>235</v>
      </c>
      <c r="J24" s="9">
        <v>15</v>
      </c>
      <c r="K24" s="9"/>
      <c r="L24" s="9"/>
      <c r="M24" s="6"/>
      <c r="N24" s="6"/>
      <c r="O24" s="7">
        <f t="shared" si="0"/>
        <v>2651</v>
      </c>
      <c r="P24" s="23">
        <v>2000</v>
      </c>
      <c r="Q24" s="54">
        <v>2350</v>
      </c>
      <c r="R24" s="7">
        <v>4096</v>
      </c>
      <c r="S24" s="61">
        <f t="shared" si="1"/>
        <v>-1746</v>
      </c>
      <c r="T24" s="61"/>
      <c r="U24" s="6"/>
      <c r="V24" s="78">
        <v>2350</v>
      </c>
    </row>
    <row r="25" spans="1:22" ht="20.100000000000001" customHeight="1" x14ac:dyDescent="0.3">
      <c r="A25" s="8" t="s">
        <v>21</v>
      </c>
      <c r="B25" s="9"/>
      <c r="C25" s="9"/>
      <c r="D25" s="9"/>
      <c r="E25" s="9"/>
      <c r="F25" s="9">
        <v>680</v>
      </c>
      <c r="G25" s="9">
        <v>1028</v>
      </c>
      <c r="H25" s="9"/>
      <c r="I25" s="9">
        <v>90</v>
      </c>
      <c r="J25" s="9"/>
      <c r="K25" s="9"/>
      <c r="L25" s="9">
        <v>15</v>
      </c>
      <c r="M25" s="6"/>
      <c r="N25" s="6"/>
      <c r="O25" s="7">
        <f t="shared" si="0"/>
        <v>1813</v>
      </c>
      <c r="P25" s="23">
        <v>2500</v>
      </c>
      <c r="Q25" s="54">
        <v>2500</v>
      </c>
      <c r="R25" s="7">
        <v>2265</v>
      </c>
      <c r="S25" s="61">
        <f t="shared" si="1"/>
        <v>235</v>
      </c>
      <c r="T25" s="61"/>
      <c r="U25" s="6"/>
      <c r="V25" s="78">
        <v>2100</v>
      </c>
    </row>
    <row r="26" spans="1:22" ht="20.100000000000001" customHeight="1" x14ac:dyDescent="0.3">
      <c r="A26" s="8" t="s">
        <v>22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>
        <v>7395</v>
      </c>
      <c r="M26" s="6"/>
      <c r="N26" s="6"/>
      <c r="O26" s="7">
        <f t="shared" si="0"/>
        <v>7395</v>
      </c>
      <c r="P26" s="23">
        <v>0</v>
      </c>
      <c r="Q26" s="54">
        <v>0</v>
      </c>
      <c r="R26" s="7"/>
      <c r="S26" s="61">
        <f t="shared" si="1"/>
        <v>0</v>
      </c>
      <c r="T26" s="61"/>
      <c r="U26" s="6"/>
      <c r="V26" s="78">
        <v>0</v>
      </c>
    </row>
    <row r="27" spans="1:22" ht="20.100000000000001" customHeight="1" x14ac:dyDescent="0.3">
      <c r="A27" s="8" t="s">
        <v>23</v>
      </c>
      <c r="B27" s="9"/>
      <c r="C27" s="9"/>
      <c r="D27" s="9"/>
      <c r="E27" s="9"/>
      <c r="F27" s="9"/>
      <c r="G27" s="9"/>
      <c r="H27" s="9">
        <v>645</v>
      </c>
      <c r="I27" s="9">
        <v>5000</v>
      </c>
      <c r="J27" s="9"/>
      <c r="K27" s="9"/>
      <c r="L27" s="9"/>
      <c r="M27" s="6"/>
      <c r="N27" s="6"/>
      <c r="O27" s="7">
        <f t="shared" si="0"/>
        <v>5645</v>
      </c>
      <c r="P27" s="23">
        <v>5000</v>
      </c>
      <c r="Q27" s="54">
        <v>5000</v>
      </c>
      <c r="R27" s="7">
        <v>5000</v>
      </c>
      <c r="S27" s="61">
        <f t="shared" si="1"/>
        <v>0</v>
      </c>
      <c r="T27" s="61"/>
      <c r="U27" s="6"/>
      <c r="V27" s="78">
        <v>5000</v>
      </c>
    </row>
    <row r="28" spans="1:22" ht="20.100000000000001" customHeight="1" x14ac:dyDescent="0.3">
      <c r="A28" s="8" t="s">
        <v>24</v>
      </c>
      <c r="B28" s="9">
        <v>640</v>
      </c>
      <c r="C28" s="9">
        <v>650</v>
      </c>
      <c r="D28" s="9">
        <v>450</v>
      </c>
      <c r="E28" s="9">
        <v>300</v>
      </c>
      <c r="F28" s="9">
        <v>825</v>
      </c>
      <c r="G28" s="9">
        <v>450</v>
      </c>
      <c r="H28" s="9">
        <v>375</v>
      </c>
      <c r="I28" s="9">
        <v>335</v>
      </c>
      <c r="J28" s="9">
        <v>75</v>
      </c>
      <c r="K28" s="9">
        <v>150</v>
      </c>
      <c r="L28" s="9">
        <v>750</v>
      </c>
      <c r="M28" s="6"/>
      <c r="N28" s="6"/>
      <c r="O28" s="7">
        <f t="shared" si="0"/>
        <v>5000</v>
      </c>
      <c r="P28" s="23">
        <v>3600</v>
      </c>
      <c r="Q28" s="54">
        <v>4300</v>
      </c>
      <c r="R28" s="7">
        <v>4545</v>
      </c>
      <c r="S28" s="61">
        <f t="shared" si="1"/>
        <v>-245</v>
      </c>
      <c r="T28" s="61"/>
      <c r="U28" s="6"/>
      <c r="V28" s="78">
        <v>4300</v>
      </c>
    </row>
    <row r="29" spans="1:22" ht="20.100000000000001" customHeight="1" x14ac:dyDescent="0.3">
      <c r="A29" s="8" t="s">
        <v>110</v>
      </c>
      <c r="B29" s="9">
        <v>135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6"/>
      <c r="N29" s="6"/>
      <c r="O29" s="7">
        <f t="shared" si="0"/>
        <v>135</v>
      </c>
      <c r="P29" s="23"/>
      <c r="Q29" s="54">
        <v>0</v>
      </c>
      <c r="R29" s="7">
        <v>0</v>
      </c>
      <c r="S29" s="61">
        <f t="shared" si="1"/>
        <v>0</v>
      </c>
      <c r="T29" s="61"/>
      <c r="U29" s="6"/>
      <c r="V29" s="78">
        <v>0</v>
      </c>
    </row>
    <row r="30" spans="1:22" ht="20.100000000000001" customHeight="1" x14ac:dyDescent="0.3">
      <c r="A30" s="8" t="s">
        <v>25</v>
      </c>
      <c r="B30" s="9">
        <v>4376</v>
      </c>
      <c r="C30" s="9">
        <v>4349</v>
      </c>
      <c r="D30" s="9">
        <v>4363</v>
      </c>
      <c r="E30" s="9">
        <v>4349</v>
      </c>
      <c r="F30" s="9">
        <v>4336</v>
      </c>
      <c r="G30" s="9">
        <v>4356</v>
      </c>
      <c r="H30" s="9">
        <v>4342</v>
      </c>
      <c r="I30" s="9">
        <v>4384</v>
      </c>
      <c r="J30" s="9">
        <v>4370</v>
      </c>
      <c r="K30" s="9">
        <v>4433</v>
      </c>
      <c r="L30" s="9">
        <v>4537</v>
      </c>
      <c r="M30" s="9">
        <v>4599</v>
      </c>
      <c r="N30" s="6"/>
      <c r="O30" s="7">
        <f t="shared" si="0"/>
        <v>52794</v>
      </c>
      <c r="P30" s="23">
        <v>53000</v>
      </c>
      <c r="Q30" s="54">
        <v>53000</v>
      </c>
      <c r="R30" s="7">
        <v>50003</v>
      </c>
      <c r="S30" s="61">
        <f t="shared" si="1"/>
        <v>2997</v>
      </c>
      <c r="T30" s="61"/>
      <c r="U30" s="6"/>
      <c r="V30" s="78">
        <v>53000</v>
      </c>
    </row>
    <row r="31" spans="1:22" ht="20.100000000000001" customHeight="1" x14ac:dyDescent="0.3">
      <c r="A31" s="8" t="s">
        <v>26</v>
      </c>
      <c r="B31" s="9">
        <v>2413</v>
      </c>
      <c r="C31" s="9">
        <v>2388</v>
      </c>
      <c r="D31" s="9">
        <v>2400</v>
      </c>
      <c r="E31" s="9">
        <v>2388</v>
      </c>
      <c r="F31" s="9">
        <v>2376</v>
      </c>
      <c r="G31" s="9">
        <v>2388</v>
      </c>
      <c r="H31" s="9">
        <v>2364</v>
      </c>
      <c r="I31" s="9">
        <v>2412</v>
      </c>
      <c r="J31" s="9">
        <v>2388</v>
      </c>
      <c r="K31" s="9">
        <v>2448</v>
      </c>
      <c r="L31" s="9">
        <v>2532</v>
      </c>
      <c r="M31" s="9">
        <v>2618</v>
      </c>
      <c r="N31" s="6"/>
      <c r="O31" s="7">
        <f t="shared" si="0"/>
        <v>29115</v>
      </c>
      <c r="P31" s="23">
        <v>27500</v>
      </c>
      <c r="Q31" s="54">
        <v>28000</v>
      </c>
      <c r="R31" s="7">
        <v>28198</v>
      </c>
      <c r="S31" s="61">
        <f t="shared" si="1"/>
        <v>-198</v>
      </c>
      <c r="T31" s="61"/>
      <c r="U31" s="6"/>
      <c r="V31" s="78">
        <v>28000</v>
      </c>
    </row>
    <row r="32" spans="1:22" ht="20.100000000000001" customHeight="1" x14ac:dyDescent="0.3">
      <c r="A32" s="8" t="s">
        <v>27</v>
      </c>
      <c r="B32" s="9"/>
      <c r="C32" s="9"/>
      <c r="D32" s="9"/>
      <c r="E32" s="9"/>
      <c r="F32" s="9"/>
      <c r="G32" s="9"/>
      <c r="H32" s="9"/>
      <c r="I32" s="9"/>
      <c r="J32" s="9"/>
      <c r="K32" s="9">
        <v>1</v>
      </c>
      <c r="L32" s="9">
        <v>1</v>
      </c>
      <c r="M32" s="6"/>
      <c r="N32" s="6"/>
      <c r="O32" s="7">
        <v>0</v>
      </c>
      <c r="P32" s="23">
        <v>0</v>
      </c>
      <c r="Q32" s="54">
        <v>0</v>
      </c>
      <c r="R32" s="7"/>
      <c r="S32" s="61">
        <f t="shared" si="1"/>
        <v>0</v>
      </c>
      <c r="T32" s="61"/>
      <c r="U32" s="6"/>
      <c r="V32" s="78">
        <v>0</v>
      </c>
    </row>
    <row r="33" spans="1:26" ht="20.100000000000001" customHeight="1" x14ac:dyDescent="0.3">
      <c r="A33" s="8" t="s">
        <v>28</v>
      </c>
      <c r="B33" s="9">
        <v>7606</v>
      </c>
      <c r="C33" s="9">
        <v>5615</v>
      </c>
      <c r="D33" s="9">
        <v>3977</v>
      </c>
      <c r="E33" s="9">
        <v>4514</v>
      </c>
      <c r="F33" s="9">
        <v>3998</v>
      </c>
      <c r="G33" s="9">
        <v>4487</v>
      </c>
      <c r="H33" s="9">
        <v>5404</v>
      </c>
      <c r="I33" s="9">
        <v>3862</v>
      </c>
      <c r="J33" s="9">
        <v>1652</v>
      </c>
      <c r="K33" s="9">
        <v>3145</v>
      </c>
      <c r="L33" s="9">
        <v>6615</v>
      </c>
      <c r="M33" s="6"/>
      <c r="N33" s="6"/>
      <c r="O33" s="7">
        <f t="shared" si="0"/>
        <v>50875</v>
      </c>
      <c r="P33" s="23">
        <v>75000</v>
      </c>
      <c r="Q33" s="54">
        <v>75000</v>
      </c>
      <c r="R33" s="7">
        <v>47060</v>
      </c>
      <c r="S33" s="61">
        <f t="shared" si="1"/>
        <v>27940</v>
      </c>
      <c r="T33" s="61"/>
      <c r="U33" s="6"/>
      <c r="V33" s="78">
        <v>75000</v>
      </c>
    </row>
    <row r="34" spans="1:26" ht="20.100000000000001" customHeight="1" x14ac:dyDescent="0.3">
      <c r="A34" s="8" t="s">
        <v>29</v>
      </c>
      <c r="B34" s="9">
        <v>12</v>
      </c>
      <c r="C34" s="9">
        <v>12</v>
      </c>
      <c r="D34" s="9">
        <v>12</v>
      </c>
      <c r="E34" s="9">
        <v>12</v>
      </c>
      <c r="F34" s="9">
        <v>13</v>
      </c>
      <c r="G34" s="9">
        <v>12</v>
      </c>
      <c r="H34" s="9">
        <v>11</v>
      </c>
      <c r="I34" s="9">
        <v>13</v>
      </c>
      <c r="J34" s="9">
        <v>12</v>
      </c>
      <c r="K34" s="9">
        <v>12</v>
      </c>
      <c r="L34" s="9">
        <v>13</v>
      </c>
      <c r="M34" s="6"/>
      <c r="N34" s="6"/>
      <c r="O34" s="7">
        <f t="shared" si="0"/>
        <v>134</v>
      </c>
      <c r="P34" s="23">
        <v>150</v>
      </c>
      <c r="Q34" s="54">
        <v>150</v>
      </c>
      <c r="R34" s="7">
        <v>113</v>
      </c>
      <c r="S34" s="61">
        <f t="shared" si="1"/>
        <v>37</v>
      </c>
      <c r="T34" s="61"/>
      <c r="U34" s="6"/>
      <c r="V34" s="78">
        <v>75</v>
      </c>
    </row>
    <row r="35" spans="1:26" ht="20.100000000000001" customHeight="1" x14ac:dyDescent="0.3">
      <c r="A35" s="8" t="s">
        <v>30</v>
      </c>
      <c r="B35" s="9">
        <v>-2382</v>
      </c>
      <c r="C35" s="9"/>
      <c r="D35" s="9">
        <v>263</v>
      </c>
      <c r="E35" s="9"/>
      <c r="F35" s="9"/>
      <c r="G35" s="9"/>
      <c r="H35" s="9"/>
      <c r="I35" s="9"/>
      <c r="J35" s="9"/>
      <c r="K35" s="9">
        <v>21290</v>
      </c>
      <c r="L35" s="9">
        <v>-21290</v>
      </c>
      <c r="M35" s="6"/>
      <c r="N35" s="6"/>
      <c r="O35" s="7">
        <f t="shared" si="0"/>
        <v>-2119</v>
      </c>
      <c r="P35" s="23">
        <v>0</v>
      </c>
      <c r="Q35" s="54">
        <v>0</v>
      </c>
      <c r="R35" s="7"/>
      <c r="S35" s="61">
        <f t="shared" si="1"/>
        <v>0</v>
      </c>
      <c r="T35" s="61"/>
      <c r="U35" s="6"/>
      <c r="V35" s="78">
        <v>0</v>
      </c>
    </row>
    <row r="36" spans="1:26" ht="20.100000000000001" customHeight="1" x14ac:dyDescent="0.3">
      <c r="A36" s="8" t="s">
        <v>31</v>
      </c>
      <c r="B36" s="9">
        <v>26</v>
      </c>
      <c r="C36" s="9">
        <v>16</v>
      </c>
      <c r="D36" s="9">
        <v>21</v>
      </c>
      <c r="E36" s="9">
        <v>5</v>
      </c>
      <c r="F36" s="9"/>
      <c r="G36" s="9">
        <v>4967</v>
      </c>
      <c r="H36" s="9">
        <v>8</v>
      </c>
      <c r="I36" s="9">
        <v>3</v>
      </c>
      <c r="J36" s="9">
        <v>903</v>
      </c>
      <c r="K36" s="9">
        <v>6</v>
      </c>
      <c r="L36" s="9">
        <v>764</v>
      </c>
      <c r="M36" s="6"/>
      <c r="N36" s="6"/>
      <c r="O36" s="7">
        <f t="shared" si="0"/>
        <v>6719</v>
      </c>
      <c r="P36" s="23">
        <v>600</v>
      </c>
      <c r="Q36" s="54">
        <v>600</v>
      </c>
      <c r="R36" s="7">
        <v>2919</v>
      </c>
      <c r="S36" s="61">
        <f t="shared" si="1"/>
        <v>-2319</v>
      </c>
      <c r="T36" s="61"/>
      <c r="U36" s="6"/>
      <c r="V36" s="78">
        <v>600</v>
      </c>
    </row>
    <row r="37" spans="1:26" s="31" customFormat="1" ht="20.100000000000001" customHeight="1" x14ac:dyDescent="0.3">
      <c r="A37" s="26" t="s">
        <v>32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8"/>
      <c r="N37" s="28"/>
      <c r="O37" s="29">
        <f t="shared" si="0"/>
        <v>0</v>
      </c>
      <c r="P37" s="30">
        <v>12483</v>
      </c>
      <c r="Q37" s="56">
        <v>66103</v>
      </c>
      <c r="R37" s="29">
        <v>141014</v>
      </c>
      <c r="S37" s="62">
        <f>Q37-R37</f>
        <v>-74911</v>
      </c>
      <c r="T37" s="62"/>
      <c r="U37" s="63"/>
      <c r="V37" s="79">
        <v>81310</v>
      </c>
    </row>
    <row r="38" spans="1:26" ht="20.100000000000001" customHeight="1" x14ac:dyDescent="0.3">
      <c r="A38" s="10" t="s">
        <v>113</v>
      </c>
      <c r="B38" s="11"/>
      <c r="C38" s="11"/>
      <c r="D38" s="11"/>
      <c r="E38" s="11"/>
      <c r="F38" s="11">
        <v>7365</v>
      </c>
      <c r="G38" s="11"/>
      <c r="H38" s="11"/>
      <c r="I38" s="11"/>
      <c r="J38" s="11"/>
      <c r="K38" s="11"/>
      <c r="L38" s="11"/>
      <c r="M38" s="6"/>
      <c r="N38" s="6"/>
      <c r="O38" s="7">
        <f t="shared" si="0"/>
        <v>7365</v>
      </c>
      <c r="P38" s="23">
        <v>7365</v>
      </c>
      <c r="Q38" s="54">
        <v>7365</v>
      </c>
      <c r="R38" s="7">
        <v>7365</v>
      </c>
      <c r="S38" s="61">
        <f>Q38-R38</f>
        <v>0</v>
      </c>
      <c r="T38" s="61"/>
      <c r="U38" s="6"/>
      <c r="V38" s="78">
        <v>7365</v>
      </c>
    </row>
    <row r="39" spans="1:26" ht="20.100000000000001" customHeight="1" x14ac:dyDescent="0.3">
      <c r="A39" s="10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6"/>
      <c r="N39" s="6"/>
      <c r="O39" s="6"/>
      <c r="P39" s="23"/>
      <c r="Q39" s="54"/>
      <c r="R39" s="7"/>
      <c r="S39" s="61"/>
      <c r="T39" s="61"/>
      <c r="U39" s="6"/>
      <c r="V39" s="78"/>
    </row>
    <row r="40" spans="1:26" s="38" customFormat="1" ht="20.100000000000001" customHeight="1" x14ac:dyDescent="0.25">
      <c r="A40" s="34" t="s">
        <v>33</v>
      </c>
      <c r="B40" s="35">
        <f t="shared" ref="B40:P40" si="2">SUM(B4:B38)</f>
        <v>25704.7</v>
      </c>
      <c r="C40" s="35">
        <f t="shared" si="2"/>
        <v>21103</v>
      </c>
      <c r="D40" s="35">
        <f t="shared" si="2"/>
        <v>69993</v>
      </c>
      <c r="E40" s="35">
        <f t="shared" si="2"/>
        <v>53295</v>
      </c>
      <c r="F40" s="35">
        <f t="shared" si="2"/>
        <v>93328</v>
      </c>
      <c r="G40" s="35">
        <f t="shared" si="2"/>
        <v>24024</v>
      </c>
      <c r="H40" s="35">
        <f t="shared" si="2"/>
        <v>49135</v>
      </c>
      <c r="I40" s="35">
        <f t="shared" si="2"/>
        <v>27775</v>
      </c>
      <c r="J40" s="35">
        <f t="shared" si="2"/>
        <v>20140</v>
      </c>
      <c r="K40" s="35">
        <f t="shared" si="2"/>
        <v>40315</v>
      </c>
      <c r="L40" s="35">
        <f t="shared" si="2"/>
        <v>9762</v>
      </c>
      <c r="M40" s="35">
        <f t="shared" si="2"/>
        <v>7217</v>
      </c>
      <c r="N40" s="35">
        <f t="shared" si="2"/>
        <v>0</v>
      </c>
      <c r="O40" s="36">
        <f t="shared" si="2"/>
        <v>441789.7</v>
      </c>
      <c r="P40" s="37">
        <f t="shared" si="2"/>
        <v>483960</v>
      </c>
      <c r="Q40" s="39">
        <f t="shared" ref="Q40:R40" si="3">SUM(Q4:Q38)</f>
        <v>533050</v>
      </c>
      <c r="R40" s="58">
        <f t="shared" si="3"/>
        <v>599521</v>
      </c>
      <c r="S40" s="64">
        <f>SUM(S4:S39)</f>
        <v>-66471</v>
      </c>
      <c r="T40" s="64"/>
      <c r="U40" s="65"/>
      <c r="V40" s="80">
        <f t="shared" ref="V40" si="4">SUM(V4:V38)</f>
        <v>552478</v>
      </c>
    </row>
    <row r="41" spans="1:26" ht="20.100000000000001" customHeight="1" x14ac:dyDescent="0.3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6"/>
      <c r="N41" s="6"/>
      <c r="O41" s="6"/>
      <c r="P41" s="7"/>
      <c r="Q41" s="7"/>
      <c r="R41" s="7"/>
      <c r="S41" s="7"/>
      <c r="T41" s="7"/>
      <c r="U41" s="6"/>
      <c r="V41" s="7"/>
    </row>
    <row r="42" spans="1:26" ht="20.100000000000001" customHeight="1" x14ac:dyDescent="0.3">
      <c r="A42" s="8" t="s">
        <v>34</v>
      </c>
      <c r="B42" s="9">
        <f>B61</f>
        <v>0</v>
      </c>
      <c r="C42" s="9">
        <f t="shared" ref="C42:N42" si="5">C61</f>
        <v>0</v>
      </c>
      <c r="D42" s="9">
        <f t="shared" si="5"/>
        <v>0</v>
      </c>
      <c r="E42" s="9">
        <f t="shared" si="5"/>
        <v>0</v>
      </c>
      <c r="F42" s="9">
        <f t="shared" si="5"/>
        <v>0</v>
      </c>
      <c r="G42" s="9">
        <f t="shared" si="5"/>
        <v>0</v>
      </c>
      <c r="H42" s="9">
        <f t="shared" si="5"/>
        <v>1245</v>
      </c>
      <c r="I42" s="9">
        <f t="shared" si="5"/>
        <v>45</v>
      </c>
      <c r="J42" s="9">
        <f t="shared" si="5"/>
        <v>0</v>
      </c>
      <c r="K42" s="9">
        <f t="shared" si="5"/>
        <v>0</v>
      </c>
      <c r="L42" s="9">
        <f t="shared" si="5"/>
        <v>0</v>
      </c>
      <c r="M42" s="9">
        <f t="shared" si="5"/>
        <v>0</v>
      </c>
      <c r="N42" s="9">
        <f t="shared" si="5"/>
        <v>0</v>
      </c>
      <c r="O42" s="7">
        <f t="shared" ref="O42:O48" si="6">SUM(B42:N42)</f>
        <v>1290</v>
      </c>
      <c r="P42" s="23">
        <f>P61</f>
        <v>8751</v>
      </c>
      <c r="Q42" s="54">
        <f>Q61</f>
        <v>8001</v>
      </c>
      <c r="R42" s="7">
        <f>R61</f>
        <v>8001</v>
      </c>
      <c r="S42" s="61">
        <f>Q42-R42</f>
        <v>0</v>
      </c>
      <c r="T42" s="7">
        <f>T61</f>
        <v>8001</v>
      </c>
      <c r="U42" s="6"/>
      <c r="V42" s="78">
        <f>V61</f>
        <v>8001</v>
      </c>
    </row>
    <row r="43" spans="1:26" ht="20.100000000000001" customHeight="1" x14ac:dyDescent="0.3">
      <c r="A43" s="8" t="s">
        <v>35</v>
      </c>
      <c r="B43" s="9">
        <f>B66</f>
        <v>0</v>
      </c>
      <c r="C43" s="9">
        <f t="shared" ref="C43:N43" si="7">C66</f>
        <v>0</v>
      </c>
      <c r="D43" s="9">
        <f t="shared" si="7"/>
        <v>0</v>
      </c>
      <c r="E43" s="9">
        <f t="shared" si="7"/>
        <v>0</v>
      </c>
      <c r="F43" s="9">
        <f t="shared" si="7"/>
        <v>0</v>
      </c>
      <c r="G43" s="9">
        <f t="shared" si="7"/>
        <v>0</v>
      </c>
      <c r="H43" s="9">
        <f t="shared" si="7"/>
        <v>0</v>
      </c>
      <c r="I43" s="9">
        <f t="shared" si="7"/>
        <v>0</v>
      </c>
      <c r="J43" s="9">
        <f t="shared" si="7"/>
        <v>0</v>
      </c>
      <c r="K43" s="9">
        <f t="shared" si="7"/>
        <v>0</v>
      </c>
      <c r="L43" s="9">
        <f t="shared" si="7"/>
        <v>0</v>
      </c>
      <c r="M43" s="9">
        <f t="shared" si="7"/>
        <v>0</v>
      </c>
      <c r="N43" s="9">
        <f t="shared" si="7"/>
        <v>0</v>
      </c>
      <c r="O43" s="7">
        <f t="shared" si="6"/>
        <v>0</v>
      </c>
      <c r="P43" s="23">
        <f>P66</f>
        <v>1200</v>
      </c>
      <c r="Q43" s="54">
        <f>Q66</f>
        <v>600</v>
      </c>
      <c r="R43" s="7">
        <f>R66</f>
        <v>600</v>
      </c>
      <c r="S43" s="61">
        <f t="shared" ref="S43:S48" si="8">Q43-R43</f>
        <v>0</v>
      </c>
      <c r="T43" s="7">
        <f>T66</f>
        <v>600</v>
      </c>
      <c r="U43" s="6"/>
      <c r="V43" s="78">
        <f>V66</f>
        <v>600</v>
      </c>
    </row>
    <row r="44" spans="1:26" ht="20.100000000000001" customHeight="1" x14ac:dyDescent="0.3">
      <c r="A44" s="8" t="s">
        <v>36</v>
      </c>
      <c r="B44" s="9">
        <f>B96</f>
        <v>12202</v>
      </c>
      <c r="C44" s="9">
        <f t="shared" ref="C44:N44" si="9">C96</f>
        <v>7929</v>
      </c>
      <c r="D44" s="9">
        <f t="shared" si="9"/>
        <v>8130</v>
      </c>
      <c r="E44" s="9">
        <f t="shared" si="9"/>
        <v>7559</v>
      </c>
      <c r="F44" s="9">
        <f t="shared" si="9"/>
        <v>11673</v>
      </c>
      <c r="G44" s="9">
        <f t="shared" si="9"/>
        <v>14879</v>
      </c>
      <c r="H44" s="9">
        <f t="shared" si="9"/>
        <v>11343</v>
      </c>
      <c r="I44" s="9">
        <f t="shared" si="9"/>
        <v>15653</v>
      </c>
      <c r="J44" s="9">
        <f t="shared" si="9"/>
        <v>25140</v>
      </c>
      <c r="K44" s="9">
        <f t="shared" si="9"/>
        <v>9017</v>
      </c>
      <c r="L44" s="9">
        <f t="shared" si="9"/>
        <v>15862</v>
      </c>
      <c r="M44" s="9">
        <f t="shared" si="9"/>
        <v>15092</v>
      </c>
      <c r="N44" s="9">
        <f t="shared" si="9"/>
        <v>0</v>
      </c>
      <c r="O44" s="7">
        <f t="shared" si="6"/>
        <v>154479</v>
      </c>
      <c r="P44" s="23">
        <f>P96</f>
        <v>141391</v>
      </c>
      <c r="Q44" s="54">
        <f>Q96</f>
        <v>167721</v>
      </c>
      <c r="R44" s="7">
        <f>R96</f>
        <v>215113</v>
      </c>
      <c r="S44" s="61">
        <f t="shared" si="8"/>
        <v>-47392</v>
      </c>
      <c r="T44" s="7">
        <f>T96</f>
        <v>212309</v>
      </c>
      <c r="U44" s="6"/>
      <c r="V44" s="78">
        <f>V96</f>
        <v>187085</v>
      </c>
    </row>
    <row r="45" spans="1:26" ht="20.100000000000001" customHeight="1" x14ac:dyDescent="0.3">
      <c r="A45" s="8" t="s">
        <v>37</v>
      </c>
      <c r="B45" s="9">
        <f>B123</f>
        <v>14394</v>
      </c>
      <c r="C45" s="9">
        <f t="shared" ref="C45:N45" si="10">C123</f>
        <v>13343</v>
      </c>
      <c r="D45" s="9">
        <f t="shared" si="10"/>
        <v>17246</v>
      </c>
      <c r="E45" s="9">
        <f t="shared" si="10"/>
        <v>15603</v>
      </c>
      <c r="F45" s="9">
        <f t="shared" si="10"/>
        <v>19143</v>
      </c>
      <c r="G45" s="9">
        <f t="shared" si="10"/>
        <v>15174</v>
      </c>
      <c r="H45" s="9">
        <f t="shared" si="10"/>
        <v>9449</v>
      </c>
      <c r="I45" s="9">
        <f t="shared" si="10"/>
        <v>13099</v>
      </c>
      <c r="J45" s="9">
        <f t="shared" si="10"/>
        <v>27710</v>
      </c>
      <c r="K45" s="9">
        <f t="shared" si="10"/>
        <v>12452</v>
      </c>
      <c r="L45" s="9">
        <f t="shared" si="10"/>
        <v>12665</v>
      </c>
      <c r="M45" s="9">
        <f t="shared" si="10"/>
        <v>16277</v>
      </c>
      <c r="N45" s="9">
        <f t="shared" si="10"/>
        <v>0</v>
      </c>
      <c r="O45" s="7">
        <f t="shared" si="6"/>
        <v>186555</v>
      </c>
      <c r="P45" s="23">
        <f>P123</f>
        <v>185790</v>
      </c>
      <c r="Q45" s="54">
        <f>Q123</f>
        <v>206628.448</v>
      </c>
      <c r="R45" s="7">
        <f>R123</f>
        <v>203013</v>
      </c>
      <c r="S45" s="61">
        <f t="shared" si="8"/>
        <v>3615.448000000004</v>
      </c>
      <c r="T45" s="7">
        <f>T123</f>
        <v>205659</v>
      </c>
      <c r="U45" s="6"/>
      <c r="V45" s="78">
        <f>V123</f>
        <v>226922</v>
      </c>
      <c r="Z45" s="5"/>
    </row>
    <row r="46" spans="1:26" ht="20.100000000000001" customHeight="1" x14ac:dyDescent="0.3">
      <c r="A46" s="8" t="s">
        <v>38</v>
      </c>
      <c r="B46" s="9">
        <f>B148</f>
        <v>7070</v>
      </c>
      <c r="C46" s="9">
        <f t="shared" ref="C46:N46" si="11">C148</f>
        <v>7119</v>
      </c>
      <c r="D46" s="9">
        <f t="shared" si="11"/>
        <v>8292</v>
      </c>
      <c r="E46" s="9">
        <f t="shared" si="11"/>
        <v>10698</v>
      </c>
      <c r="F46" s="9">
        <f t="shared" si="11"/>
        <v>5913</v>
      </c>
      <c r="G46" s="9">
        <f t="shared" si="11"/>
        <v>1444</v>
      </c>
      <c r="H46" s="9">
        <f t="shared" si="11"/>
        <v>3799</v>
      </c>
      <c r="I46" s="9">
        <f t="shared" si="11"/>
        <v>4586</v>
      </c>
      <c r="J46" s="9">
        <f t="shared" si="11"/>
        <v>7469</v>
      </c>
      <c r="K46" s="9">
        <f t="shared" si="11"/>
        <v>7247</v>
      </c>
      <c r="L46" s="9">
        <f t="shared" si="11"/>
        <v>5823</v>
      </c>
      <c r="M46" s="9">
        <f t="shared" si="11"/>
        <v>5844</v>
      </c>
      <c r="N46" s="9">
        <f t="shared" si="11"/>
        <v>0</v>
      </c>
      <c r="O46" s="7">
        <f t="shared" si="6"/>
        <v>75304</v>
      </c>
      <c r="P46" s="23">
        <f>P148</f>
        <v>94528</v>
      </c>
      <c r="Q46" s="54">
        <f>Q148</f>
        <v>99600</v>
      </c>
      <c r="R46" s="7">
        <f>R148</f>
        <v>123666</v>
      </c>
      <c r="S46" s="61">
        <f t="shared" si="8"/>
        <v>-24066</v>
      </c>
      <c r="T46" s="7">
        <f>T148</f>
        <v>124292</v>
      </c>
      <c r="U46" s="6"/>
      <c r="V46" s="78">
        <f>V148</f>
        <v>66436.5</v>
      </c>
      <c r="Z46" s="5"/>
    </row>
    <row r="47" spans="1:26" ht="20.100000000000001" customHeight="1" x14ac:dyDescent="0.3">
      <c r="A47" s="8" t="s">
        <v>39</v>
      </c>
      <c r="B47" s="9">
        <f>B153</f>
        <v>3439</v>
      </c>
      <c r="C47" s="9">
        <f t="shared" ref="C47:N47" si="12">C153</f>
        <v>3537</v>
      </c>
      <c r="D47" s="9">
        <f t="shared" si="12"/>
        <v>3549</v>
      </c>
      <c r="E47" s="9">
        <f t="shared" si="12"/>
        <v>3394</v>
      </c>
      <c r="F47" s="9">
        <f t="shared" si="12"/>
        <v>143</v>
      </c>
      <c r="G47" s="9">
        <f t="shared" si="12"/>
        <v>3537</v>
      </c>
      <c r="H47" s="9">
        <f t="shared" si="12"/>
        <v>3554</v>
      </c>
      <c r="I47" s="9">
        <f t="shared" si="12"/>
        <v>3570</v>
      </c>
      <c r="J47" s="9">
        <f t="shared" si="12"/>
        <v>3570</v>
      </c>
      <c r="K47" s="9">
        <f t="shared" si="12"/>
        <v>3614</v>
      </c>
      <c r="L47" s="9">
        <f t="shared" si="12"/>
        <v>3690</v>
      </c>
      <c r="M47" s="9">
        <f t="shared" si="12"/>
        <v>3718</v>
      </c>
      <c r="N47" s="9">
        <f t="shared" si="12"/>
        <v>0</v>
      </c>
      <c r="O47" s="7">
        <f t="shared" si="6"/>
        <v>39315</v>
      </c>
      <c r="P47" s="23">
        <f>P153</f>
        <v>44500</v>
      </c>
      <c r="Q47" s="54">
        <f>Q153</f>
        <v>44500</v>
      </c>
      <c r="R47" s="7">
        <f>R153</f>
        <v>44457</v>
      </c>
      <c r="S47" s="61">
        <f t="shared" si="8"/>
        <v>43</v>
      </c>
      <c r="T47" s="7">
        <f>T153</f>
        <v>44321</v>
      </c>
      <c r="U47" s="6"/>
      <c r="V47" s="78">
        <f>V153</f>
        <v>44389</v>
      </c>
    </row>
    <row r="48" spans="1:26" ht="20.100000000000001" customHeight="1" x14ac:dyDescent="0.3">
      <c r="A48" s="8" t="s">
        <v>40</v>
      </c>
      <c r="B48" s="9">
        <f>B163</f>
        <v>350</v>
      </c>
      <c r="C48" s="9">
        <f t="shared" ref="C48:N48" si="13">C163</f>
        <v>350</v>
      </c>
      <c r="D48" s="9">
        <f t="shared" si="13"/>
        <v>350</v>
      </c>
      <c r="E48" s="9">
        <f t="shared" si="13"/>
        <v>350</v>
      </c>
      <c r="F48" s="9">
        <f t="shared" si="13"/>
        <v>312</v>
      </c>
      <c r="G48" s="9">
        <f t="shared" si="13"/>
        <v>674</v>
      </c>
      <c r="H48" s="9">
        <f t="shared" si="13"/>
        <v>350</v>
      </c>
      <c r="I48" s="9">
        <f t="shared" si="13"/>
        <v>0</v>
      </c>
      <c r="J48" s="9">
        <f t="shared" si="13"/>
        <v>320</v>
      </c>
      <c r="K48" s="9">
        <f t="shared" si="13"/>
        <v>0</v>
      </c>
      <c r="L48" s="9">
        <f t="shared" si="13"/>
        <v>320</v>
      </c>
      <c r="M48" s="9">
        <f t="shared" si="13"/>
        <v>480</v>
      </c>
      <c r="N48" s="9">
        <f t="shared" si="13"/>
        <v>0</v>
      </c>
      <c r="O48" s="7">
        <f t="shared" si="6"/>
        <v>3856</v>
      </c>
      <c r="P48" s="23">
        <f>P163</f>
        <v>7800</v>
      </c>
      <c r="Q48" s="54">
        <f>Q163</f>
        <v>6000</v>
      </c>
      <c r="R48" s="7">
        <f>R163</f>
        <v>4671</v>
      </c>
      <c r="S48" s="61">
        <f t="shared" si="8"/>
        <v>1329</v>
      </c>
      <c r="T48" s="7">
        <f>T163</f>
        <v>1418</v>
      </c>
      <c r="U48" s="6"/>
      <c r="V48" s="78">
        <f>V163</f>
        <v>3044.5</v>
      </c>
      <c r="Z48" s="5"/>
    </row>
    <row r="49" spans="1:22" ht="20.100000000000001" customHeight="1" x14ac:dyDescent="0.3">
      <c r="A49" s="10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6"/>
      <c r="N49" s="6"/>
      <c r="O49" s="6"/>
      <c r="P49" s="23"/>
      <c r="Q49" s="54"/>
      <c r="R49" s="7"/>
      <c r="S49" s="61"/>
      <c r="T49" s="7"/>
      <c r="U49" s="6"/>
      <c r="V49" s="78"/>
    </row>
    <row r="50" spans="1:22" s="38" customFormat="1" ht="20.100000000000001" customHeight="1" x14ac:dyDescent="0.25">
      <c r="A50" s="34" t="s">
        <v>41</v>
      </c>
      <c r="B50" s="35">
        <f>SUM(B42:B49)</f>
        <v>37455</v>
      </c>
      <c r="C50" s="35">
        <f>SUM(C42:C49)</f>
        <v>32278</v>
      </c>
      <c r="D50" s="35">
        <f t="shared" ref="D50:N50" si="14">SUM(D42:D49)</f>
        <v>37567</v>
      </c>
      <c r="E50" s="35">
        <f t="shared" si="14"/>
        <v>37604</v>
      </c>
      <c r="F50" s="35">
        <f t="shared" si="14"/>
        <v>37184</v>
      </c>
      <c r="G50" s="35">
        <f t="shared" si="14"/>
        <v>35708</v>
      </c>
      <c r="H50" s="35">
        <f t="shared" si="14"/>
        <v>29740</v>
      </c>
      <c r="I50" s="35">
        <f t="shared" si="14"/>
        <v>36953</v>
      </c>
      <c r="J50" s="35">
        <f t="shared" si="14"/>
        <v>64209</v>
      </c>
      <c r="K50" s="35">
        <f t="shared" si="14"/>
        <v>32330</v>
      </c>
      <c r="L50" s="35">
        <f t="shared" si="14"/>
        <v>38360</v>
      </c>
      <c r="M50" s="35">
        <f t="shared" si="14"/>
        <v>41411</v>
      </c>
      <c r="N50" s="35">
        <f t="shared" si="14"/>
        <v>0</v>
      </c>
      <c r="O50" s="36">
        <f>SUM(O42:O48)</f>
        <v>460799</v>
      </c>
      <c r="P50" s="37">
        <f>SUM(P42:P49)</f>
        <v>483960</v>
      </c>
      <c r="Q50" s="39">
        <f>SUM(Q42:Q49)</f>
        <v>533050.44799999997</v>
      </c>
      <c r="R50" s="58">
        <f>SUM(R42:R49)</f>
        <v>599521</v>
      </c>
      <c r="S50" s="64">
        <f>SUM(S42:S48)</f>
        <v>-66470.551999999996</v>
      </c>
      <c r="T50" s="64">
        <f>SUM(T42:T48)</f>
        <v>596600</v>
      </c>
      <c r="U50" s="65"/>
      <c r="V50" s="80">
        <f>SUM(V42:V49)</f>
        <v>536478</v>
      </c>
    </row>
    <row r="51" spans="1:22" ht="20.100000000000001" customHeight="1" x14ac:dyDescent="0.3">
      <c r="A51" s="10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6"/>
      <c r="N51" s="6"/>
      <c r="O51" s="6"/>
      <c r="P51" s="7"/>
      <c r="Q51" s="7"/>
      <c r="R51" s="7"/>
      <c r="S51" s="61"/>
      <c r="T51" s="61"/>
      <c r="U51" s="6"/>
      <c r="V51" s="7"/>
    </row>
    <row r="52" spans="1:22" s="44" customFormat="1" ht="20.100000000000001" customHeight="1" x14ac:dyDescent="0.3">
      <c r="A52" s="40" t="s">
        <v>42</v>
      </c>
      <c r="B52" s="41">
        <f>B40-B50</f>
        <v>-11750.3</v>
      </c>
      <c r="C52" s="41">
        <f>C40-C50</f>
        <v>-11175</v>
      </c>
      <c r="D52" s="41">
        <f t="shared" ref="D52:O52" si="15">D40-D50</f>
        <v>32426</v>
      </c>
      <c r="E52" s="41">
        <f t="shared" si="15"/>
        <v>15691</v>
      </c>
      <c r="F52" s="41">
        <f t="shared" si="15"/>
        <v>56144</v>
      </c>
      <c r="G52" s="41">
        <f t="shared" si="15"/>
        <v>-11684</v>
      </c>
      <c r="H52" s="41">
        <f t="shared" si="15"/>
        <v>19395</v>
      </c>
      <c r="I52" s="41">
        <f t="shared" si="15"/>
        <v>-9178</v>
      </c>
      <c r="J52" s="41">
        <f t="shared" si="15"/>
        <v>-44069</v>
      </c>
      <c r="K52" s="41">
        <f t="shared" si="15"/>
        <v>7985</v>
      </c>
      <c r="L52" s="41">
        <f t="shared" si="15"/>
        <v>-28598</v>
      </c>
      <c r="M52" s="41">
        <f t="shared" si="15"/>
        <v>-34194</v>
      </c>
      <c r="N52" s="41">
        <f t="shared" si="15"/>
        <v>0</v>
      </c>
      <c r="O52" s="33">
        <f t="shared" si="15"/>
        <v>-19009.299999999988</v>
      </c>
      <c r="P52" s="42">
        <f>P40-P50</f>
        <v>0</v>
      </c>
      <c r="Q52" s="43">
        <f>Q40-Q50</f>
        <v>-0.44799999997485429</v>
      </c>
      <c r="R52" s="57">
        <f>R40-R50</f>
        <v>0</v>
      </c>
      <c r="S52" s="66">
        <f>S40-S50</f>
        <v>-0.44800000000395812</v>
      </c>
      <c r="T52" s="66"/>
      <c r="U52" s="47"/>
      <c r="V52" s="81">
        <f>V40-V50</f>
        <v>16000</v>
      </c>
    </row>
    <row r="53" spans="1:22" ht="20.100000000000001" customHeight="1" x14ac:dyDescent="0.3">
      <c r="A53" s="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6"/>
      <c r="N53" s="6"/>
      <c r="O53" s="6"/>
      <c r="P53" s="7"/>
      <c r="Q53" s="7"/>
      <c r="R53" s="7"/>
      <c r="S53" s="7"/>
      <c r="T53" s="7"/>
      <c r="U53" s="6"/>
      <c r="V53" s="7"/>
    </row>
    <row r="54" spans="1:22" ht="20.100000000000001" customHeight="1" x14ac:dyDescent="0.3">
      <c r="A54" s="12" t="s">
        <v>111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6"/>
      <c r="N54" s="6"/>
      <c r="O54" s="6"/>
      <c r="P54" s="7"/>
      <c r="Q54" s="7"/>
      <c r="R54" s="7"/>
      <c r="S54" s="7"/>
      <c r="T54" s="7"/>
      <c r="U54" s="6"/>
      <c r="V54" s="7"/>
    </row>
    <row r="55" spans="1:22" s="44" customFormat="1" ht="20.100000000000001" customHeight="1" x14ac:dyDescent="0.3">
      <c r="A55" s="45" t="s">
        <v>34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7"/>
      <c r="N55" s="47"/>
      <c r="O55" s="47"/>
      <c r="P55" s="46"/>
      <c r="Q55" s="46"/>
      <c r="R55" s="46"/>
      <c r="S55" s="46"/>
      <c r="T55" s="46"/>
      <c r="U55" s="47"/>
      <c r="V55" s="46"/>
    </row>
    <row r="56" spans="1:22" ht="20.100000000000001" customHeight="1" x14ac:dyDescent="0.3">
      <c r="A56" s="8" t="s">
        <v>43</v>
      </c>
      <c r="B56" s="9">
        <v>0</v>
      </c>
      <c r="C56" s="9"/>
      <c r="D56" s="9"/>
      <c r="E56" s="9"/>
      <c r="F56" s="9"/>
      <c r="G56" s="9"/>
      <c r="H56" s="9">
        <v>75</v>
      </c>
      <c r="I56" s="9"/>
      <c r="J56" s="9"/>
      <c r="K56" s="9"/>
      <c r="L56" s="9"/>
      <c r="M56" s="6"/>
      <c r="N56" s="6"/>
      <c r="O56" s="7">
        <f t="shared" ref="O56:O59" si="16">SUM(B56:N56)</f>
        <v>75</v>
      </c>
      <c r="P56" s="23">
        <v>7200</v>
      </c>
      <c r="Q56" s="54">
        <v>7200</v>
      </c>
      <c r="R56" s="7">
        <v>7200</v>
      </c>
      <c r="S56" s="61">
        <f>Q56-R56</f>
        <v>0</v>
      </c>
      <c r="T56" s="61">
        <v>7200</v>
      </c>
      <c r="U56" s="6"/>
      <c r="V56" s="78">
        <f>SUM(R56+T56)/2</f>
        <v>7200</v>
      </c>
    </row>
    <row r="57" spans="1:22" ht="20.100000000000001" customHeight="1" x14ac:dyDescent="0.3">
      <c r="A57" s="8" t="s">
        <v>44</v>
      </c>
      <c r="B57" s="9">
        <v>0</v>
      </c>
      <c r="C57" s="9"/>
      <c r="D57" s="9"/>
      <c r="E57" s="9"/>
      <c r="F57" s="9"/>
      <c r="G57" s="9"/>
      <c r="H57" s="9"/>
      <c r="I57" s="9">
        <v>6</v>
      </c>
      <c r="J57" s="9"/>
      <c r="K57" s="9"/>
      <c r="L57" s="9"/>
      <c r="M57" s="6"/>
      <c r="N57" s="6"/>
      <c r="O57" s="7">
        <f t="shared" si="16"/>
        <v>6</v>
      </c>
      <c r="P57" s="23">
        <v>551</v>
      </c>
      <c r="Q57" s="54">
        <v>551</v>
      </c>
      <c r="R57" s="7">
        <v>551</v>
      </c>
      <c r="S57" s="61">
        <v>0</v>
      </c>
      <c r="T57" s="61">
        <v>551</v>
      </c>
      <c r="U57" s="6"/>
      <c r="V57" s="78">
        <f t="shared" ref="V57:V59" si="17">SUM(R57+T57)/2</f>
        <v>551</v>
      </c>
    </row>
    <row r="58" spans="1:22" ht="20.100000000000001" customHeight="1" x14ac:dyDescent="0.3">
      <c r="A58" s="8" t="s">
        <v>45</v>
      </c>
      <c r="B58" s="9">
        <v>0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6"/>
      <c r="N58" s="6"/>
      <c r="O58" s="7">
        <f t="shared" si="16"/>
        <v>0</v>
      </c>
      <c r="P58" s="23">
        <v>250</v>
      </c>
      <c r="Q58" s="54">
        <v>100</v>
      </c>
      <c r="R58" s="7">
        <v>100</v>
      </c>
      <c r="S58" s="61">
        <f t="shared" ref="S58:S59" si="18">Q58-R58</f>
        <v>0</v>
      </c>
      <c r="T58" s="61">
        <v>100</v>
      </c>
      <c r="U58" s="6"/>
      <c r="V58" s="78">
        <f t="shared" si="17"/>
        <v>100</v>
      </c>
    </row>
    <row r="59" spans="1:22" ht="20.100000000000001" customHeight="1" x14ac:dyDescent="0.3">
      <c r="A59" s="8" t="s">
        <v>46</v>
      </c>
      <c r="B59" s="9">
        <v>0</v>
      </c>
      <c r="C59" s="9"/>
      <c r="D59" s="9"/>
      <c r="E59" s="9"/>
      <c r="F59" s="9"/>
      <c r="G59" s="9"/>
      <c r="H59" s="9">
        <v>1170</v>
      </c>
      <c r="I59" s="9">
        <v>39</v>
      </c>
      <c r="J59" s="9"/>
      <c r="K59" s="9"/>
      <c r="L59" s="9"/>
      <c r="M59" s="6"/>
      <c r="N59" s="6"/>
      <c r="O59" s="7">
        <f t="shared" si="16"/>
        <v>1209</v>
      </c>
      <c r="P59" s="23">
        <v>750</v>
      </c>
      <c r="Q59" s="54">
        <v>150</v>
      </c>
      <c r="R59" s="7">
        <v>150</v>
      </c>
      <c r="S59" s="61">
        <f t="shared" si="18"/>
        <v>0</v>
      </c>
      <c r="T59" s="61">
        <v>150</v>
      </c>
      <c r="U59" s="6"/>
      <c r="V59" s="78">
        <f t="shared" si="17"/>
        <v>150</v>
      </c>
    </row>
    <row r="60" spans="1:22" ht="20.100000000000001" customHeight="1" x14ac:dyDescent="0.3">
      <c r="A60" s="10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6"/>
      <c r="N60" s="6"/>
      <c r="O60" s="8"/>
      <c r="P60" s="7"/>
      <c r="Q60" s="7"/>
      <c r="R60" s="7"/>
      <c r="S60" s="61"/>
      <c r="T60" s="61"/>
      <c r="U60" s="6"/>
      <c r="V60" s="7"/>
    </row>
    <row r="61" spans="1:22" s="38" customFormat="1" ht="20.100000000000001" customHeight="1" x14ac:dyDescent="0.25">
      <c r="A61" s="34" t="s">
        <v>114</v>
      </c>
      <c r="B61" s="35">
        <f>SUM(B56:B60)</f>
        <v>0</v>
      </c>
      <c r="C61" s="35">
        <f t="shared" ref="C61:N61" si="19">SUM(C56:C60)</f>
        <v>0</v>
      </c>
      <c r="D61" s="35">
        <f t="shared" si="19"/>
        <v>0</v>
      </c>
      <c r="E61" s="35">
        <f t="shared" si="19"/>
        <v>0</v>
      </c>
      <c r="F61" s="35">
        <f t="shared" si="19"/>
        <v>0</v>
      </c>
      <c r="G61" s="35">
        <f t="shared" si="19"/>
        <v>0</v>
      </c>
      <c r="H61" s="35">
        <f t="shared" si="19"/>
        <v>1245</v>
      </c>
      <c r="I61" s="35">
        <f t="shared" si="19"/>
        <v>45</v>
      </c>
      <c r="J61" s="35">
        <f t="shared" si="19"/>
        <v>0</v>
      </c>
      <c r="K61" s="35">
        <f t="shared" si="19"/>
        <v>0</v>
      </c>
      <c r="L61" s="35">
        <f t="shared" si="19"/>
        <v>0</v>
      </c>
      <c r="M61" s="35">
        <f t="shared" si="19"/>
        <v>0</v>
      </c>
      <c r="N61" s="35">
        <f t="shared" si="19"/>
        <v>0</v>
      </c>
      <c r="O61" s="36">
        <f>SUM(O56:O59)</f>
        <v>1290</v>
      </c>
      <c r="P61" s="37">
        <f>SUM(P56:P60)</f>
        <v>8751</v>
      </c>
      <c r="Q61" s="39">
        <f t="shared" ref="Q61:S61" si="20">SUM(Q56:Q60)</f>
        <v>8001</v>
      </c>
      <c r="R61" s="59">
        <f t="shared" si="20"/>
        <v>8001</v>
      </c>
      <c r="S61" s="64">
        <f t="shared" si="20"/>
        <v>0</v>
      </c>
      <c r="T61" s="64">
        <f>SUM(T56:T60)</f>
        <v>8001</v>
      </c>
      <c r="U61" s="65"/>
      <c r="V61" s="80">
        <f>SUM(V56:V60)</f>
        <v>8001</v>
      </c>
    </row>
    <row r="62" spans="1:22" ht="20.100000000000001" customHeight="1" x14ac:dyDescent="0.3">
      <c r="A62" s="6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6"/>
      <c r="N62" s="6"/>
      <c r="O62" s="6"/>
      <c r="P62" s="7"/>
      <c r="Q62" s="7"/>
      <c r="R62" s="7"/>
      <c r="S62" s="7"/>
      <c r="T62" s="7"/>
      <c r="U62" s="6"/>
      <c r="V62" s="7"/>
    </row>
    <row r="63" spans="1:22" ht="20.100000000000001" customHeight="1" x14ac:dyDescent="0.3">
      <c r="A63" s="45" t="s">
        <v>35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6"/>
      <c r="N63" s="6"/>
      <c r="O63" s="6"/>
      <c r="P63" s="7"/>
      <c r="Q63" s="7"/>
      <c r="R63" s="7"/>
      <c r="S63" s="7"/>
      <c r="T63" s="7"/>
      <c r="U63" s="6"/>
      <c r="V63" s="7"/>
    </row>
    <row r="64" spans="1:22" ht="20.100000000000001" customHeight="1" x14ac:dyDescent="0.3">
      <c r="A64" s="8" t="s">
        <v>47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6"/>
      <c r="N64" s="6"/>
      <c r="O64" s="7">
        <f t="shared" ref="O64" si="21">SUM(B64:N64)</f>
        <v>0</v>
      </c>
      <c r="P64" s="23">
        <v>1200</v>
      </c>
      <c r="Q64" s="54">
        <v>600</v>
      </c>
      <c r="R64" s="7">
        <v>600</v>
      </c>
      <c r="S64" s="61">
        <f>Q64-R64</f>
        <v>0</v>
      </c>
      <c r="T64" s="61">
        <v>600</v>
      </c>
      <c r="U64" s="6"/>
      <c r="V64" s="78">
        <f t="shared" ref="V64:V66" si="22">SUM(R64+T64)/2</f>
        <v>600</v>
      </c>
    </row>
    <row r="65" spans="1:24" ht="20.100000000000001" customHeight="1" x14ac:dyDescent="0.3">
      <c r="A65" s="10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6"/>
      <c r="N65" s="6"/>
      <c r="O65" s="6"/>
      <c r="P65" s="7"/>
      <c r="Q65" s="7"/>
      <c r="R65" s="7"/>
      <c r="S65" s="61"/>
      <c r="T65" s="61"/>
      <c r="U65" s="6"/>
      <c r="V65" s="7"/>
    </row>
    <row r="66" spans="1:24" s="38" customFormat="1" ht="20.100000000000001" customHeight="1" x14ac:dyDescent="0.3">
      <c r="A66" s="34" t="s">
        <v>48</v>
      </c>
      <c r="B66" s="35">
        <f>B64</f>
        <v>0</v>
      </c>
      <c r="C66" s="35">
        <f t="shared" ref="C66:N66" si="23">C64</f>
        <v>0</v>
      </c>
      <c r="D66" s="35">
        <f t="shared" si="23"/>
        <v>0</v>
      </c>
      <c r="E66" s="35">
        <f t="shared" si="23"/>
        <v>0</v>
      </c>
      <c r="F66" s="35">
        <f t="shared" si="23"/>
        <v>0</v>
      </c>
      <c r="G66" s="35">
        <f t="shared" si="23"/>
        <v>0</v>
      </c>
      <c r="H66" s="35">
        <f t="shared" si="23"/>
        <v>0</v>
      </c>
      <c r="I66" s="35">
        <f t="shared" si="23"/>
        <v>0</v>
      </c>
      <c r="J66" s="35">
        <f t="shared" si="23"/>
        <v>0</v>
      </c>
      <c r="K66" s="35">
        <f t="shared" si="23"/>
        <v>0</v>
      </c>
      <c r="L66" s="35">
        <f t="shared" si="23"/>
        <v>0</v>
      </c>
      <c r="M66" s="35">
        <f t="shared" si="23"/>
        <v>0</v>
      </c>
      <c r="N66" s="35">
        <f t="shared" si="23"/>
        <v>0</v>
      </c>
      <c r="O66" s="36">
        <f>O64</f>
        <v>0</v>
      </c>
      <c r="P66" s="37">
        <f>SUM(P64:P65)</f>
        <v>1200</v>
      </c>
      <c r="Q66" s="39">
        <f>SUM(Q64:Q65)</f>
        <v>600</v>
      </c>
      <c r="R66" s="59">
        <f>SUM(R64:R65)</f>
        <v>600</v>
      </c>
      <c r="S66" s="64">
        <f>SUM(S64:S65)</f>
        <v>0</v>
      </c>
      <c r="T66" s="64">
        <v>600</v>
      </c>
      <c r="U66" s="65"/>
      <c r="V66" s="78">
        <f t="shared" si="22"/>
        <v>600</v>
      </c>
    </row>
    <row r="67" spans="1:24" ht="20.100000000000001" customHeight="1" x14ac:dyDescent="0.3">
      <c r="A67" s="6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6"/>
      <c r="N67" s="6"/>
      <c r="O67" s="6"/>
      <c r="P67" s="7"/>
      <c r="Q67" s="7"/>
      <c r="R67" s="7"/>
      <c r="S67" s="7"/>
      <c r="T67" s="7"/>
      <c r="U67" s="6"/>
      <c r="V67" s="7"/>
    </row>
    <row r="68" spans="1:24" ht="20.100000000000001" customHeight="1" x14ac:dyDescent="0.3">
      <c r="A68" s="12" t="s">
        <v>112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6"/>
      <c r="N68" s="6"/>
      <c r="O68" s="6"/>
      <c r="P68" s="7"/>
      <c r="Q68" s="7"/>
      <c r="R68" s="7"/>
      <c r="S68" s="7"/>
      <c r="T68" s="7"/>
      <c r="U68" s="6"/>
      <c r="V68" s="7"/>
    </row>
    <row r="69" spans="1:24" s="44" customFormat="1" ht="20.100000000000001" customHeight="1" x14ac:dyDescent="0.3">
      <c r="A69" s="45" t="s">
        <v>49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7"/>
      <c r="N69" s="47"/>
      <c r="O69" s="47"/>
      <c r="P69" s="46"/>
      <c r="Q69" s="55"/>
      <c r="R69" s="46"/>
      <c r="S69" s="46"/>
      <c r="T69" s="46"/>
      <c r="U69" s="47"/>
      <c r="V69" s="46"/>
    </row>
    <row r="70" spans="1:24" ht="20.100000000000001" customHeight="1" x14ac:dyDescent="0.3">
      <c r="A70" s="8" t="s">
        <v>50</v>
      </c>
      <c r="B70" s="9">
        <v>5238</v>
      </c>
      <c r="C70" s="9">
        <v>3581</v>
      </c>
      <c r="D70" s="9">
        <v>4143</v>
      </c>
      <c r="E70" s="9">
        <v>3839</v>
      </c>
      <c r="F70" s="9">
        <v>4200</v>
      </c>
      <c r="G70" s="9">
        <v>4032</v>
      </c>
      <c r="H70" s="9">
        <v>3228</v>
      </c>
      <c r="I70" s="9">
        <v>4377</v>
      </c>
      <c r="J70" s="9">
        <v>5903</v>
      </c>
      <c r="K70" s="9">
        <v>5012</v>
      </c>
      <c r="L70" s="9">
        <v>4519</v>
      </c>
      <c r="M70" s="9">
        <v>6600</v>
      </c>
      <c r="N70" s="6"/>
      <c r="O70" s="7">
        <f t="shared" ref="O70:O94" si="24">SUM(B70:N70)</f>
        <v>54672</v>
      </c>
      <c r="P70" s="23">
        <v>66816</v>
      </c>
      <c r="Q70" s="54">
        <v>72970</v>
      </c>
      <c r="R70" s="7">
        <v>72970</v>
      </c>
      <c r="S70" s="61">
        <f>Q70-R70</f>
        <v>0</v>
      </c>
      <c r="T70" s="61">
        <v>72970</v>
      </c>
      <c r="U70" s="6"/>
      <c r="V70" s="78">
        <v>74586</v>
      </c>
      <c r="X70" s="5"/>
    </row>
    <row r="71" spans="1:24" ht="20.100000000000001" customHeight="1" x14ac:dyDescent="0.3">
      <c r="A71" s="8" t="s">
        <v>51</v>
      </c>
      <c r="B71" s="9">
        <v>401</v>
      </c>
      <c r="C71" s="9">
        <v>274</v>
      </c>
      <c r="D71" s="9">
        <v>317</v>
      </c>
      <c r="E71" s="9">
        <v>294</v>
      </c>
      <c r="F71" s="9">
        <v>321</v>
      </c>
      <c r="G71" s="9"/>
      <c r="H71" s="9">
        <v>308</v>
      </c>
      <c r="I71" s="9">
        <v>677</v>
      </c>
      <c r="J71" s="9">
        <v>335</v>
      </c>
      <c r="K71" s="9">
        <v>452</v>
      </c>
      <c r="L71" s="9">
        <v>383</v>
      </c>
      <c r="M71" s="6"/>
      <c r="N71" s="6"/>
      <c r="O71" s="7">
        <f t="shared" si="24"/>
        <v>3762</v>
      </c>
      <c r="P71" s="23">
        <v>5111</v>
      </c>
      <c r="Q71" s="54">
        <v>5582</v>
      </c>
      <c r="R71" s="7">
        <v>5582</v>
      </c>
      <c r="S71" s="61">
        <f t="shared" ref="S71:S94" si="25">Q71-R71</f>
        <v>0</v>
      </c>
      <c r="T71" s="61">
        <v>5582</v>
      </c>
      <c r="U71" s="6"/>
      <c r="V71" s="78">
        <v>5706</v>
      </c>
    </row>
    <row r="72" spans="1:24" ht="20.100000000000001" customHeight="1" x14ac:dyDescent="0.3">
      <c r="A72" s="8" t="s">
        <v>52</v>
      </c>
      <c r="B72" s="9"/>
      <c r="C72" s="9"/>
      <c r="D72" s="9"/>
      <c r="E72" s="9"/>
      <c r="F72" s="9"/>
      <c r="G72" s="9">
        <v>15</v>
      </c>
      <c r="H72" s="9"/>
      <c r="I72" s="9"/>
      <c r="J72" s="9">
        <v>18</v>
      </c>
      <c r="K72" s="9"/>
      <c r="L72" s="9"/>
      <c r="M72" s="6"/>
      <c r="N72" s="6"/>
      <c r="O72" s="7">
        <f t="shared" si="24"/>
        <v>33</v>
      </c>
      <c r="P72" s="23">
        <v>50</v>
      </c>
      <c r="Q72" s="54">
        <v>50</v>
      </c>
      <c r="R72" s="7">
        <v>494</v>
      </c>
      <c r="S72" s="61">
        <f t="shared" si="25"/>
        <v>-444</v>
      </c>
      <c r="T72" s="61">
        <v>1900</v>
      </c>
      <c r="U72" s="6"/>
      <c r="V72" s="78">
        <f t="shared" ref="V72:V94" si="26">SUM(R72+T72)/2</f>
        <v>1197</v>
      </c>
    </row>
    <row r="73" spans="1:24" ht="20.100000000000001" customHeight="1" x14ac:dyDescent="0.3">
      <c r="A73" s="8" t="s">
        <v>53</v>
      </c>
      <c r="B73" s="9"/>
      <c r="C73" s="9"/>
      <c r="D73" s="9"/>
      <c r="E73" s="9"/>
      <c r="F73" s="9"/>
      <c r="G73" s="9"/>
      <c r="H73" s="9"/>
      <c r="I73" s="9">
        <v>161</v>
      </c>
      <c r="J73" s="9"/>
      <c r="K73" s="9"/>
      <c r="L73" s="9"/>
      <c r="M73" s="6"/>
      <c r="N73" s="6"/>
      <c r="O73" s="7">
        <f t="shared" si="24"/>
        <v>161</v>
      </c>
      <c r="P73" s="23">
        <v>210</v>
      </c>
      <c r="Q73" s="54">
        <v>210</v>
      </c>
      <c r="R73" s="7">
        <v>280</v>
      </c>
      <c r="S73" s="61">
        <f t="shared" si="25"/>
        <v>-70</v>
      </c>
      <c r="T73" s="61">
        <v>44</v>
      </c>
      <c r="U73" s="6"/>
      <c r="V73" s="78">
        <f t="shared" si="26"/>
        <v>162</v>
      </c>
    </row>
    <row r="74" spans="1:24" ht="20.100000000000001" customHeight="1" x14ac:dyDescent="0.3">
      <c r="A74" s="8" t="s">
        <v>54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>
        <v>200</v>
      </c>
      <c r="M74" s="6"/>
      <c r="N74" s="6"/>
      <c r="O74" s="7">
        <f t="shared" si="24"/>
        <v>200</v>
      </c>
      <c r="P74" s="23">
        <v>0</v>
      </c>
      <c r="Q74" s="54">
        <v>250</v>
      </c>
      <c r="R74" s="7">
        <v>3738</v>
      </c>
      <c r="S74" s="61">
        <f t="shared" si="25"/>
        <v>-3488</v>
      </c>
      <c r="T74" s="61">
        <v>7127</v>
      </c>
      <c r="U74" s="6"/>
      <c r="V74" s="78">
        <f t="shared" si="26"/>
        <v>5432.5</v>
      </c>
      <c r="X74" s="5"/>
    </row>
    <row r="75" spans="1:24" ht="20.100000000000001" customHeight="1" x14ac:dyDescent="0.3">
      <c r="A75" s="8" t="s">
        <v>55</v>
      </c>
      <c r="B75" s="9">
        <v>2550</v>
      </c>
      <c r="C75" s="9">
        <v>200</v>
      </c>
      <c r="D75" s="9"/>
      <c r="E75" s="9"/>
      <c r="F75" s="9"/>
      <c r="G75" s="9">
        <v>800</v>
      </c>
      <c r="H75" s="9"/>
      <c r="I75" s="9">
        <v>5175</v>
      </c>
      <c r="J75" s="9">
        <v>200</v>
      </c>
      <c r="K75" s="9">
        <v>100</v>
      </c>
      <c r="L75" s="9">
        <v>450</v>
      </c>
      <c r="M75" s="9">
        <v>325</v>
      </c>
      <c r="N75" s="6"/>
      <c r="O75" s="7">
        <f t="shared" si="24"/>
        <v>9800</v>
      </c>
      <c r="P75" s="23">
        <v>15000</v>
      </c>
      <c r="Q75" s="54">
        <v>20000</v>
      </c>
      <c r="R75" s="7">
        <v>14950</v>
      </c>
      <c r="S75" s="61">
        <f t="shared" si="25"/>
        <v>5050</v>
      </c>
      <c r="T75" s="61">
        <v>16000</v>
      </c>
      <c r="U75" s="6"/>
      <c r="V75" s="78">
        <f t="shared" si="26"/>
        <v>15475</v>
      </c>
    </row>
    <row r="76" spans="1:24" ht="20.100000000000001" customHeight="1" x14ac:dyDescent="0.3">
      <c r="A76" s="8" t="s">
        <v>56</v>
      </c>
      <c r="B76" s="9">
        <v>429</v>
      </c>
      <c r="C76" s="9">
        <v>845</v>
      </c>
      <c r="D76" s="9">
        <v>91</v>
      </c>
      <c r="E76" s="9">
        <v>1248</v>
      </c>
      <c r="F76" s="9">
        <v>949</v>
      </c>
      <c r="G76" s="9">
        <v>2574</v>
      </c>
      <c r="H76" s="9">
        <v>767</v>
      </c>
      <c r="I76" s="9">
        <v>1118</v>
      </c>
      <c r="J76" s="9">
        <v>2678</v>
      </c>
      <c r="K76" s="9"/>
      <c r="L76" s="9">
        <v>5239</v>
      </c>
      <c r="M76" s="9">
        <v>2639</v>
      </c>
      <c r="N76" s="6"/>
      <c r="O76" s="7">
        <f t="shared" si="24"/>
        <v>18577</v>
      </c>
      <c r="P76" s="23">
        <v>4000</v>
      </c>
      <c r="Q76" s="54">
        <v>10000</v>
      </c>
      <c r="R76" s="7">
        <v>27538</v>
      </c>
      <c r="S76" s="61">
        <f t="shared" si="25"/>
        <v>-17538</v>
      </c>
      <c r="T76" s="61">
        <v>20244</v>
      </c>
      <c r="U76" s="6"/>
      <c r="V76" s="78">
        <v>17500</v>
      </c>
    </row>
    <row r="77" spans="1:24" ht="20.100000000000001" customHeight="1" x14ac:dyDescent="0.3">
      <c r="A77" s="8" t="s">
        <v>57</v>
      </c>
      <c r="B77" s="9"/>
      <c r="C77" s="9">
        <v>88</v>
      </c>
      <c r="D77" s="9"/>
      <c r="E77" s="9"/>
      <c r="F77" s="9">
        <v>42</v>
      </c>
      <c r="G77" s="9">
        <v>3095</v>
      </c>
      <c r="H77" s="9">
        <v>4221</v>
      </c>
      <c r="I77" s="9"/>
      <c r="J77" s="9"/>
      <c r="K77" s="9"/>
      <c r="L77" s="9"/>
      <c r="M77" s="6"/>
      <c r="N77" s="6"/>
      <c r="O77" s="7">
        <f t="shared" si="24"/>
        <v>7446</v>
      </c>
      <c r="P77" s="23">
        <v>13500</v>
      </c>
      <c r="Q77" s="54">
        <v>3000</v>
      </c>
      <c r="R77" s="7">
        <v>3000</v>
      </c>
      <c r="S77" s="61">
        <f t="shared" si="25"/>
        <v>0</v>
      </c>
      <c r="T77" s="61">
        <v>4575</v>
      </c>
      <c r="U77" s="6"/>
      <c r="V77" s="78">
        <f t="shared" si="26"/>
        <v>3787.5</v>
      </c>
    </row>
    <row r="78" spans="1:24" ht="20.100000000000001" customHeight="1" x14ac:dyDescent="0.3">
      <c r="A78" s="8" t="s">
        <v>58</v>
      </c>
      <c r="B78" s="9"/>
      <c r="C78" s="9"/>
      <c r="D78" s="9"/>
      <c r="E78" s="9"/>
      <c r="F78" s="9"/>
      <c r="G78" s="9"/>
      <c r="H78" s="9">
        <v>91</v>
      </c>
      <c r="I78" s="9">
        <v>129</v>
      </c>
      <c r="J78" s="9">
        <v>534</v>
      </c>
      <c r="K78" s="9">
        <v>236</v>
      </c>
      <c r="L78" s="9">
        <v>127</v>
      </c>
      <c r="M78" s="9">
        <v>153</v>
      </c>
      <c r="N78" s="6"/>
      <c r="O78" s="7">
        <f t="shared" si="24"/>
        <v>1270</v>
      </c>
      <c r="P78" s="23">
        <v>0</v>
      </c>
      <c r="Q78" s="54">
        <v>2550</v>
      </c>
      <c r="R78" s="7">
        <f>7599+96</f>
        <v>7695</v>
      </c>
      <c r="S78" s="61">
        <f t="shared" si="25"/>
        <v>-5145</v>
      </c>
      <c r="T78" s="61">
        <v>70</v>
      </c>
      <c r="U78" s="6"/>
      <c r="V78" s="78">
        <f t="shared" si="26"/>
        <v>3882.5</v>
      </c>
    </row>
    <row r="79" spans="1:24" ht="20.100000000000001" customHeight="1" x14ac:dyDescent="0.3">
      <c r="A79" s="8" t="s">
        <v>59</v>
      </c>
      <c r="B79" s="9">
        <v>159</v>
      </c>
      <c r="C79" s="9">
        <v>159</v>
      </c>
      <c r="D79" s="9">
        <v>159</v>
      </c>
      <c r="E79" s="9">
        <v>159</v>
      </c>
      <c r="F79" s="9">
        <v>159</v>
      </c>
      <c r="G79" s="9"/>
      <c r="H79" s="9">
        <v>159</v>
      </c>
      <c r="I79" s="9">
        <v>159</v>
      </c>
      <c r="J79" s="9">
        <v>1894</v>
      </c>
      <c r="K79" s="9">
        <v>770</v>
      </c>
      <c r="L79" s="9">
        <v>1420</v>
      </c>
      <c r="M79" s="9">
        <v>770</v>
      </c>
      <c r="N79" s="6"/>
      <c r="O79" s="7">
        <f t="shared" si="24"/>
        <v>5967</v>
      </c>
      <c r="P79" s="23">
        <v>1904</v>
      </c>
      <c r="Q79" s="54">
        <v>6000</v>
      </c>
      <c r="R79" s="7">
        <v>9005</v>
      </c>
      <c r="S79" s="61">
        <f t="shared" si="25"/>
        <v>-3005</v>
      </c>
      <c r="T79" s="61">
        <v>6700</v>
      </c>
      <c r="U79" s="6"/>
      <c r="V79" s="78">
        <v>6375</v>
      </c>
    </row>
    <row r="80" spans="1:24" ht="20.100000000000001" customHeight="1" x14ac:dyDescent="0.3">
      <c r="A80" s="8" t="s">
        <v>60</v>
      </c>
      <c r="B80" s="9">
        <v>1092</v>
      </c>
      <c r="C80" s="9">
        <v>810</v>
      </c>
      <c r="D80" s="9">
        <v>92</v>
      </c>
      <c r="E80" s="9"/>
      <c r="F80" s="9">
        <v>133</v>
      </c>
      <c r="G80" s="9">
        <v>601</v>
      </c>
      <c r="H80" s="9"/>
      <c r="I80" s="9"/>
      <c r="J80" s="9"/>
      <c r="K80" s="9"/>
      <c r="L80" s="9">
        <v>102</v>
      </c>
      <c r="M80" s="6"/>
      <c r="N80" s="6"/>
      <c r="O80" s="7">
        <f t="shared" si="24"/>
        <v>2830</v>
      </c>
      <c r="P80" s="23">
        <v>1000</v>
      </c>
      <c r="Q80" s="54">
        <v>1000</v>
      </c>
      <c r="R80" s="7">
        <v>1725</v>
      </c>
      <c r="S80" s="61">
        <f t="shared" si="25"/>
        <v>-725</v>
      </c>
      <c r="T80" s="61">
        <v>1250</v>
      </c>
      <c r="U80" s="6"/>
      <c r="V80" s="78">
        <v>1000</v>
      </c>
    </row>
    <row r="81" spans="1:22" ht="20.100000000000001" customHeight="1" x14ac:dyDescent="0.3">
      <c r="A81" s="8" t="s">
        <v>61</v>
      </c>
      <c r="B81" s="9">
        <v>256</v>
      </c>
      <c r="C81" s="9">
        <v>37</v>
      </c>
      <c r="D81" s="9">
        <v>37</v>
      </c>
      <c r="E81" s="9">
        <v>100</v>
      </c>
      <c r="F81" s="9"/>
      <c r="G81" s="9">
        <v>37</v>
      </c>
      <c r="H81" s="9">
        <v>37</v>
      </c>
      <c r="I81" s="9">
        <v>247</v>
      </c>
      <c r="J81" s="9">
        <v>515</v>
      </c>
      <c r="K81" s="9"/>
      <c r="L81" s="9">
        <v>37</v>
      </c>
      <c r="M81" s="9">
        <v>37</v>
      </c>
      <c r="N81" s="6"/>
      <c r="O81" s="7">
        <f t="shared" si="24"/>
        <v>1340</v>
      </c>
      <c r="P81" s="23">
        <v>1000</v>
      </c>
      <c r="Q81" s="54">
        <v>1000</v>
      </c>
      <c r="R81" s="7">
        <v>10874</v>
      </c>
      <c r="S81" s="61">
        <f t="shared" si="25"/>
        <v>-9874</v>
      </c>
      <c r="T81" s="61">
        <v>18794</v>
      </c>
      <c r="U81" s="6"/>
      <c r="V81" s="78">
        <v>2000</v>
      </c>
    </row>
    <row r="82" spans="1:22" ht="20.100000000000001" customHeight="1" x14ac:dyDescent="0.3">
      <c r="A82" s="8" t="s">
        <v>62</v>
      </c>
      <c r="B82" s="9"/>
      <c r="C82" s="9"/>
      <c r="D82" s="9"/>
      <c r="E82" s="9"/>
      <c r="F82" s="9">
        <v>142</v>
      </c>
      <c r="G82" s="9">
        <v>1970</v>
      </c>
      <c r="H82" s="9"/>
      <c r="I82" s="9"/>
      <c r="J82" s="9">
        <v>6820</v>
      </c>
      <c r="K82" s="9"/>
      <c r="L82" s="9"/>
      <c r="M82" s="6"/>
      <c r="N82" s="6"/>
      <c r="O82" s="7">
        <f t="shared" si="24"/>
        <v>8932</v>
      </c>
      <c r="P82" s="23">
        <v>6900</v>
      </c>
      <c r="Q82" s="54">
        <v>9379</v>
      </c>
      <c r="R82" s="7">
        <v>6721</v>
      </c>
      <c r="S82" s="61">
        <f t="shared" si="25"/>
        <v>2658</v>
      </c>
      <c r="T82" s="61">
        <v>17990</v>
      </c>
      <c r="U82" s="6"/>
      <c r="V82" s="78">
        <f t="shared" si="26"/>
        <v>12355.5</v>
      </c>
    </row>
    <row r="83" spans="1:22" ht="20.100000000000001" customHeight="1" x14ac:dyDescent="0.3">
      <c r="A83" s="8" t="s">
        <v>63</v>
      </c>
      <c r="B83" s="9">
        <v>579</v>
      </c>
      <c r="C83" s="9">
        <v>576</v>
      </c>
      <c r="D83" s="9">
        <v>572</v>
      </c>
      <c r="E83" s="9">
        <v>574</v>
      </c>
      <c r="F83" s="9">
        <v>-3</v>
      </c>
      <c r="G83" s="9">
        <v>575</v>
      </c>
      <c r="H83" s="9">
        <v>580</v>
      </c>
      <c r="I83" s="9">
        <v>572</v>
      </c>
      <c r="J83" s="9">
        <v>565</v>
      </c>
      <c r="K83" s="9">
        <v>540</v>
      </c>
      <c r="L83" s="9">
        <v>557</v>
      </c>
      <c r="M83" s="9">
        <v>563</v>
      </c>
      <c r="N83" s="6"/>
      <c r="O83" s="7">
        <f t="shared" si="24"/>
        <v>6250</v>
      </c>
      <c r="P83" s="23">
        <v>7000</v>
      </c>
      <c r="Q83" s="54">
        <v>6780</v>
      </c>
      <c r="R83" s="7">
        <v>7312</v>
      </c>
      <c r="S83" s="61">
        <f t="shared" si="25"/>
        <v>-532</v>
      </c>
      <c r="T83" s="61">
        <v>7310</v>
      </c>
      <c r="U83" s="6"/>
      <c r="V83" s="78">
        <v>6500</v>
      </c>
    </row>
    <row r="84" spans="1:22" ht="20.100000000000001" customHeight="1" x14ac:dyDescent="0.3">
      <c r="A84" s="8" t="s">
        <v>64</v>
      </c>
      <c r="B84" s="9"/>
      <c r="C84" s="9">
        <v>460</v>
      </c>
      <c r="D84" s="9">
        <v>347</v>
      </c>
      <c r="E84" s="9">
        <v>264</v>
      </c>
      <c r="F84" s="9">
        <v>-161</v>
      </c>
      <c r="G84" s="9"/>
      <c r="H84" s="9">
        <v>627</v>
      </c>
      <c r="I84" s="9">
        <v>979</v>
      </c>
      <c r="J84" s="9"/>
      <c r="K84" s="9"/>
      <c r="L84" s="9">
        <v>196</v>
      </c>
      <c r="M84" s="6"/>
      <c r="N84" s="6"/>
      <c r="O84" s="7">
        <f t="shared" si="24"/>
        <v>2712</v>
      </c>
      <c r="P84" s="23">
        <v>1000</v>
      </c>
      <c r="Q84" s="54">
        <v>1500</v>
      </c>
      <c r="R84" s="7">
        <v>1955</v>
      </c>
      <c r="S84" s="61">
        <f t="shared" si="25"/>
        <v>-455</v>
      </c>
      <c r="T84" s="61">
        <v>279</v>
      </c>
      <c r="U84" s="6"/>
      <c r="V84" s="78">
        <f t="shared" si="26"/>
        <v>1117</v>
      </c>
    </row>
    <row r="85" spans="1:22" ht="20.100000000000001" customHeight="1" x14ac:dyDescent="0.3">
      <c r="A85" s="8" t="s">
        <v>144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6"/>
      <c r="N85" s="6"/>
      <c r="O85" s="7"/>
      <c r="P85" s="23"/>
      <c r="Q85" s="54"/>
      <c r="R85" s="7">
        <v>328</v>
      </c>
      <c r="S85" s="61">
        <f t="shared" si="25"/>
        <v>-328</v>
      </c>
      <c r="T85" s="61"/>
      <c r="U85" s="6"/>
      <c r="V85" s="78">
        <f t="shared" si="26"/>
        <v>164</v>
      </c>
    </row>
    <row r="86" spans="1:22" ht="20.100000000000001" customHeight="1" x14ac:dyDescent="0.3">
      <c r="A86" s="8" t="s">
        <v>65</v>
      </c>
      <c r="B86" s="9"/>
      <c r="C86" s="9"/>
      <c r="D86" s="9"/>
      <c r="E86" s="9"/>
      <c r="F86" s="9"/>
      <c r="G86" s="9"/>
      <c r="H86" s="9">
        <v>72</v>
      </c>
      <c r="I86" s="9">
        <v>62</v>
      </c>
      <c r="J86" s="9">
        <v>12</v>
      </c>
      <c r="K86" s="9">
        <v>12</v>
      </c>
      <c r="L86" s="9"/>
      <c r="M86" s="6"/>
      <c r="N86" s="6"/>
      <c r="O86" s="7">
        <f t="shared" si="24"/>
        <v>158</v>
      </c>
      <c r="P86" s="23">
        <v>500</v>
      </c>
      <c r="Q86" s="54">
        <v>500</v>
      </c>
      <c r="R86" s="7">
        <v>386</v>
      </c>
      <c r="S86" s="61">
        <f t="shared" si="25"/>
        <v>114</v>
      </c>
      <c r="T86" s="61">
        <v>716</v>
      </c>
      <c r="U86" s="6"/>
      <c r="V86" s="78">
        <f t="shared" si="26"/>
        <v>551</v>
      </c>
    </row>
    <row r="87" spans="1:22" ht="20.100000000000001" customHeight="1" x14ac:dyDescent="0.3">
      <c r="A87" s="8" t="s">
        <v>66</v>
      </c>
      <c r="B87" s="9"/>
      <c r="C87" s="9"/>
      <c r="D87" s="9">
        <v>47</v>
      </c>
      <c r="E87" s="9"/>
      <c r="F87" s="9">
        <v>662</v>
      </c>
      <c r="G87" s="9">
        <v>427</v>
      </c>
      <c r="H87" s="9"/>
      <c r="I87" s="9">
        <v>525</v>
      </c>
      <c r="J87" s="9"/>
      <c r="K87" s="9">
        <v>50</v>
      </c>
      <c r="L87" s="9"/>
      <c r="M87" s="6"/>
      <c r="N87" s="6"/>
      <c r="O87" s="7">
        <f t="shared" si="24"/>
        <v>1711</v>
      </c>
      <c r="P87" s="23">
        <v>900</v>
      </c>
      <c r="Q87" s="54">
        <v>1250</v>
      </c>
      <c r="R87" s="7">
        <v>1121</v>
      </c>
      <c r="S87" s="61">
        <f t="shared" si="25"/>
        <v>129</v>
      </c>
      <c r="T87" s="61">
        <v>508</v>
      </c>
      <c r="U87" s="6"/>
      <c r="V87" s="78">
        <f t="shared" si="26"/>
        <v>814.5</v>
      </c>
    </row>
    <row r="88" spans="1:22" ht="20.100000000000001" customHeight="1" x14ac:dyDescent="0.3">
      <c r="A88" s="8" t="s">
        <v>67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>
        <v>225</v>
      </c>
      <c r="M88" s="6"/>
      <c r="N88" s="6"/>
      <c r="O88" s="7">
        <f t="shared" si="24"/>
        <v>225</v>
      </c>
      <c r="P88" s="23">
        <v>500</v>
      </c>
      <c r="Q88" s="54">
        <v>500</v>
      </c>
      <c r="R88" s="7">
        <v>815</v>
      </c>
      <c r="S88" s="61">
        <f t="shared" si="25"/>
        <v>-315</v>
      </c>
      <c r="T88" s="61">
        <v>500</v>
      </c>
      <c r="U88" s="6"/>
      <c r="V88" s="78">
        <f t="shared" si="26"/>
        <v>657.5</v>
      </c>
    </row>
    <row r="89" spans="1:22" ht="20.100000000000001" customHeight="1" x14ac:dyDescent="0.3">
      <c r="A89" s="8" t="s">
        <v>68</v>
      </c>
      <c r="B89" s="9">
        <v>476</v>
      </c>
      <c r="C89" s="9">
        <v>31</v>
      </c>
      <c r="D89" s="9">
        <v>1551</v>
      </c>
      <c r="E89" s="9">
        <v>438</v>
      </c>
      <c r="F89" s="9">
        <v>658</v>
      </c>
      <c r="G89" s="9">
        <v>279</v>
      </c>
      <c r="H89" s="9">
        <v>325</v>
      </c>
      <c r="I89" s="9">
        <v>835</v>
      </c>
      <c r="J89" s="9">
        <v>1503</v>
      </c>
      <c r="K89" s="9">
        <v>1747</v>
      </c>
      <c r="L89" s="9">
        <v>911</v>
      </c>
      <c r="M89" s="9">
        <v>895</v>
      </c>
      <c r="N89" s="6"/>
      <c r="O89" s="7">
        <f t="shared" si="24"/>
        <v>9649</v>
      </c>
      <c r="P89" s="23">
        <v>4500</v>
      </c>
      <c r="Q89" s="54">
        <v>7000</v>
      </c>
      <c r="R89" s="7">
        <v>15208</v>
      </c>
      <c r="S89" s="61">
        <f t="shared" si="25"/>
        <v>-8208</v>
      </c>
      <c r="T89" s="61">
        <v>10035</v>
      </c>
      <c r="U89" s="6"/>
      <c r="V89" s="78">
        <v>7500</v>
      </c>
    </row>
    <row r="90" spans="1:22" ht="20.100000000000001" customHeight="1" x14ac:dyDescent="0.3">
      <c r="A90" s="8" t="s">
        <v>69</v>
      </c>
      <c r="B90" s="9">
        <v>520</v>
      </c>
      <c r="C90" s="9">
        <v>598</v>
      </c>
      <c r="D90" s="9">
        <v>538</v>
      </c>
      <c r="E90" s="9">
        <v>393</v>
      </c>
      <c r="F90" s="9">
        <v>-50</v>
      </c>
      <c r="G90" s="9">
        <v>463</v>
      </c>
      <c r="H90" s="9">
        <v>708</v>
      </c>
      <c r="I90" s="9">
        <v>359</v>
      </c>
      <c r="J90" s="9">
        <v>3824</v>
      </c>
      <c r="K90" s="9">
        <v>-223</v>
      </c>
      <c r="L90" s="9">
        <v>1213</v>
      </c>
      <c r="M90" s="9">
        <v>2844</v>
      </c>
      <c r="N90" s="6"/>
      <c r="O90" s="7">
        <f t="shared" si="24"/>
        <v>11187</v>
      </c>
      <c r="P90" s="23">
        <v>6000</v>
      </c>
      <c r="Q90" s="54">
        <v>14000</v>
      </c>
      <c r="R90" s="7">
        <v>19374</v>
      </c>
      <c r="S90" s="61">
        <f t="shared" si="25"/>
        <v>-5374</v>
      </c>
      <c r="T90" s="61">
        <v>16113</v>
      </c>
      <c r="U90" s="6"/>
      <c r="V90" s="78">
        <v>16500</v>
      </c>
    </row>
    <row r="91" spans="1:22" ht="20.100000000000001" customHeight="1" x14ac:dyDescent="0.3">
      <c r="A91" s="8" t="s">
        <v>69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6"/>
      <c r="O91" s="7"/>
      <c r="P91" s="23"/>
      <c r="Q91" s="54"/>
      <c r="R91" s="7"/>
      <c r="S91" s="61">
        <f t="shared" si="25"/>
        <v>0</v>
      </c>
      <c r="T91" s="61"/>
      <c r="U91" s="6"/>
      <c r="V91" s="78">
        <f t="shared" si="26"/>
        <v>0</v>
      </c>
    </row>
    <row r="92" spans="1:22" ht="20.100000000000001" customHeight="1" x14ac:dyDescent="0.3">
      <c r="A92" s="8" t="s">
        <v>70</v>
      </c>
      <c r="B92" s="9">
        <v>231</v>
      </c>
      <c r="C92" s="9">
        <v>238</v>
      </c>
      <c r="D92" s="9">
        <v>217</v>
      </c>
      <c r="E92" s="9">
        <v>225</v>
      </c>
      <c r="F92" s="9">
        <v>453</v>
      </c>
      <c r="G92" s="9"/>
      <c r="H92" s="9">
        <v>215</v>
      </c>
      <c r="I92" s="9">
        <v>270</v>
      </c>
      <c r="J92" s="9">
        <v>274</v>
      </c>
      <c r="K92" s="9">
        <v>274</v>
      </c>
      <c r="L92" s="9">
        <v>267</v>
      </c>
      <c r="M92" s="9">
        <v>266</v>
      </c>
      <c r="N92" s="6"/>
      <c r="O92" s="7">
        <f t="shared" si="24"/>
        <v>2930</v>
      </c>
      <c r="P92" s="23">
        <v>3000</v>
      </c>
      <c r="Q92" s="54">
        <v>2700</v>
      </c>
      <c r="R92" s="7">
        <v>3295</v>
      </c>
      <c r="S92" s="61">
        <f t="shared" si="25"/>
        <v>-595</v>
      </c>
      <c r="T92" s="61">
        <v>2871</v>
      </c>
      <c r="U92" s="6"/>
      <c r="V92" s="78">
        <f t="shared" si="26"/>
        <v>3083</v>
      </c>
    </row>
    <row r="93" spans="1:22" ht="20.100000000000001" customHeight="1" x14ac:dyDescent="0.3">
      <c r="A93" s="8" t="s">
        <v>71</v>
      </c>
      <c r="B93" s="9"/>
      <c r="C93" s="9"/>
      <c r="D93" s="9"/>
      <c r="E93" s="9"/>
      <c r="F93" s="9">
        <v>4157</v>
      </c>
      <c r="G93" s="9"/>
      <c r="H93" s="9"/>
      <c r="I93" s="9"/>
      <c r="J93" s="9"/>
      <c r="K93" s="9"/>
      <c r="L93" s="9"/>
      <c r="M93" s="6"/>
      <c r="N93" s="6"/>
      <c r="O93" s="7">
        <f t="shared" si="24"/>
        <v>4157</v>
      </c>
      <c r="P93" s="23">
        <v>1000</v>
      </c>
      <c r="Q93" s="54">
        <v>500</v>
      </c>
      <c r="R93" s="7"/>
      <c r="S93" s="61">
        <f t="shared" si="25"/>
        <v>500</v>
      </c>
      <c r="T93" s="61"/>
      <c r="U93" s="6"/>
      <c r="V93" s="78">
        <f t="shared" si="26"/>
        <v>0</v>
      </c>
    </row>
    <row r="94" spans="1:22" ht="20.100000000000001" customHeight="1" x14ac:dyDescent="0.3">
      <c r="A94" s="8" t="s">
        <v>72</v>
      </c>
      <c r="B94" s="9">
        <v>271</v>
      </c>
      <c r="C94" s="9">
        <v>32</v>
      </c>
      <c r="D94" s="9">
        <v>19</v>
      </c>
      <c r="E94" s="9">
        <v>25</v>
      </c>
      <c r="F94" s="9">
        <v>11</v>
      </c>
      <c r="G94" s="9">
        <v>11</v>
      </c>
      <c r="H94" s="9">
        <v>5</v>
      </c>
      <c r="I94" s="9">
        <v>8</v>
      </c>
      <c r="J94" s="9">
        <v>65</v>
      </c>
      <c r="K94" s="9">
        <v>47</v>
      </c>
      <c r="L94" s="9">
        <v>16</v>
      </c>
      <c r="M94" s="6"/>
      <c r="N94" s="6"/>
      <c r="O94" s="7">
        <f t="shared" si="24"/>
        <v>510</v>
      </c>
      <c r="P94" s="23">
        <v>1500</v>
      </c>
      <c r="Q94" s="54">
        <v>1000</v>
      </c>
      <c r="R94" s="7">
        <v>747</v>
      </c>
      <c r="S94" s="61">
        <f t="shared" si="25"/>
        <v>253</v>
      </c>
      <c r="T94" s="61">
        <v>731</v>
      </c>
      <c r="U94" s="6"/>
      <c r="V94" s="78">
        <f t="shared" si="26"/>
        <v>739</v>
      </c>
    </row>
    <row r="95" spans="1:22" ht="20.100000000000001" customHeight="1" x14ac:dyDescent="0.3">
      <c r="A95" s="10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6"/>
      <c r="N95" s="6"/>
      <c r="O95" s="6"/>
      <c r="P95" s="7"/>
      <c r="Q95" s="7"/>
      <c r="R95" s="7"/>
      <c r="S95" s="61"/>
      <c r="T95" s="61"/>
      <c r="U95" s="6"/>
      <c r="V95" s="7"/>
    </row>
    <row r="96" spans="1:22" s="76" customFormat="1" ht="20.100000000000001" customHeight="1" x14ac:dyDescent="0.3">
      <c r="A96" s="70" t="s">
        <v>115</v>
      </c>
      <c r="B96" s="33">
        <f>SUM(B70:B94)</f>
        <v>12202</v>
      </c>
      <c r="C96" s="33">
        <f t="shared" ref="C96:N96" si="27">SUM(C70:C94)</f>
        <v>7929</v>
      </c>
      <c r="D96" s="33">
        <f t="shared" si="27"/>
        <v>8130</v>
      </c>
      <c r="E96" s="33">
        <f t="shared" si="27"/>
        <v>7559</v>
      </c>
      <c r="F96" s="33">
        <f t="shared" si="27"/>
        <v>11673</v>
      </c>
      <c r="G96" s="33">
        <f t="shared" si="27"/>
        <v>14879</v>
      </c>
      <c r="H96" s="33">
        <f t="shared" si="27"/>
        <v>11343</v>
      </c>
      <c r="I96" s="33">
        <f t="shared" si="27"/>
        <v>15653</v>
      </c>
      <c r="J96" s="33">
        <f t="shared" si="27"/>
        <v>25140</v>
      </c>
      <c r="K96" s="33">
        <f t="shared" si="27"/>
        <v>9017</v>
      </c>
      <c r="L96" s="33">
        <f t="shared" si="27"/>
        <v>15862</v>
      </c>
      <c r="M96" s="33">
        <f t="shared" si="27"/>
        <v>15092</v>
      </c>
      <c r="N96" s="33">
        <f t="shared" si="27"/>
        <v>0</v>
      </c>
      <c r="O96" s="71">
        <f>SUM(O70:O94)</f>
        <v>154479</v>
      </c>
      <c r="P96" s="72">
        <f>SUM(P70:P95)</f>
        <v>141391</v>
      </c>
      <c r="Q96" s="73">
        <f>SUM(Q70:Q95)</f>
        <v>167721</v>
      </c>
      <c r="R96" s="74">
        <f>SUM(R70:R95)</f>
        <v>215113</v>
      </c>
      <c r="S96" s="75">
        <f>SUM(S70:S95)</f>
        <v>-47392</v>
      </c>
      <c r="T96" s="75">
        <f t="shared" ref="T96:V96" si="28">SUM(T70:T95)</f>
        <v>212309</v>
      </c>
      <c r="U96" s="71"/>
      <c r="V96" s="82">
        <f t="shared" si="28"/>
        <v>187085</v>
      </c>
    </row>
    <row r="97" spans="1:22" ht="20.100000000000001" customHeight="1" x14ac:dyDescent="0.3">
      <c r="A97" s="6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6"/>
      <c r="N97" s="6"/>
      <c r="O97" s="6"/>
      <c r="P97" s="7"/>
      <c r="Q97" s="7"/>
      <c r="R97" s="7"/>
      <c r="S97" s="7"/>
      <c r="T97" s="7"/>
      <c r="U97" s="6"/>
      <c r="V97" s="7"/>
    </row>
    <row r="98" spans="1:22" s="44" customFormat="1" ht="20.100000000000001" customHeight="1" x14ac:dyDescent="0.3">
      <c r="A98" s="45" t="s">
        <v>116</v>
      </c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7"/>
      <c r="N98" s="47"/>
      <c r="O98" s="47"/>
      <c r="P98" s="46"/>
      <c r="Q98" s="46"/>
      <c r="R98" s="46"/>
      <c r="S98" s="46"/>
      <c r="T98" s="46"/>
      <c r="U98" s="47"/>
      <c r="V98" s="46"/>
    </row>
    <row r="99" spans="1:22" ht="20.100000000000001" customHeight="1" x14ac:dyDescent="0.3">
      <c r="A99" s="8" t="s">
        <v>50</v>
      </c>
      <c r="B99" s="9">
        <v>10237</v>
      </c>
      <c r="C99" s="9">
        <v>8908</v>
      </c>
      <c r="D99" s="9">
        <v>10469</v>
      </c>
      <c r="E99" s="9">
        <v>9281</v>
      </c>
      <c r="F99" s="9">
        <v>11865</v>
      </c>
      <c r="G99" s="9">
        <v>12164</v>
      </c>
      <c r="H99" s="9">
        <v>6619</v>
      </c>
      <c r="I99" s="9">
        <v>4098</v>
      </c>
      <c r="J99" s="9">
        <v>11765</v>
      </c>
      <c r="K99" s="9">
        <v>8590</v>
      </c>
      <c r="L99" s="9">
        <v>7877</v>
      </c>
      <c r="M99" s="9">
        <v>11576</v>
      </c>
      <c r="N99" s="6"/>
      <c r="O99" s="7">
        <f t="shared" ref="O99:O121" si="29">SUM(B99:N99)</f>
        <v>113449</v>
      </c>
      <c r="P99" s="23">
        <v>122187</v>
      </c>
      <c r="Q99" s="54">
        <v>136032</v>
      </c>
      <c r="R99" s="7">
        <v>141024</v>
      </c>
      <c r="S99" s="61">
        <f>Q99-R99</f>
        <v>-4992</v>
      </c>
      <c r="T99" s="61">
        <v>141024</v>
      </c>
      <c r="U99" s="6"/>
      <c r="V99" s="78">
        <v>162005</v>
      </c>
    </row>
    <row r="100" spans="1:22" ht="20.100000000000001" customHeight="1" x14ac:dyDescent="0.3">
      <c r="A100" s="8" t="s">
        <v>51</v>
      </c>
      <c r="B100" s="9">
        <v>783</v>
      </c>
      <c r="C100" s="9">
        <v>681</v>
      </c>
      <c r="D100" s="9">
        <v>801</v>
      </c>
      <c r="E100" s="9">
        <v>710</v>
      </c>
      <c r="F100" s="9">
        <v>908</v>
      </c>
      <c r="G100" s="9"/>
      <c r="H100" s="9">
        <v>932</v>
      </c>
      <c r="I100" s="9">
        <v>1719</v>
      </c>
      <c r="J100" s="9">
        <v>314</v>
      </c>
      <c r="K100" s="9">
        <v>900</v>
      </c>
      <c r="L100" s="9">
        <v>657</v>
      </c>
      <c r="M100" s="6"/>
      <c r="N100" s="6"/>
      <c r="O100" s="7">
        <f t="shared" si="29"/>
        <v>8405</v>
      </c>
      <c r="P100" s="23">
        <v>9347</v>
      </c>
      <c r="Q100" s="54">
        <f>Q99*0.0765</f>
        <v>10406.448</v>
      </c>
      <c r="R100" s="7">
        <v>10788</v>
      </c>
      <c r="S100" s="61">
        <f t="shared" ref="S100:S121" si="30">Q100-R100</f>
        <v>-381.55199999999968</v>
      </c>
      <c r="T100" s="61">
        <v>10788</v>
      </c>
      <c r="U100" s="6"/>
      <c r="V100" s="78">
        <v>12393</v>
      </c>
    </row>
    <row r="101" spans="1:22" ht="20.100000000000001" customHeight="1" x14ac:dyDescent="0.3">
      <c r="A101" s="8" t="s">
        <v>52</v>
      </c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6"/>
      <c r="N101" s="6"/>
      <c r="O101" s="7">
        <f t="shared" si="29"/>
        <v>0</v>
      </c>
      <c r="P101" s="23">
        <v>100</v>
      </c>
      <c r="Q101" s="54">
        <v>100</v>
      </c>
      <c r="R101" s="7">
        <v>0</v>
      </c>
      <c r="S101" s="61">
        <f t="shared" si="30"/>
        <v>100</v>
      </c>
      <c r="T101" s="61">
        <v>0</v>
      </c>
      <c r="U101" s="6"/>
      <c r="V101" s="78">
        <f t="shared" ref="V101:V121" si="31">SUM(R101+T101)/2</f>
        <v>0</v>
      </c>
    </row>
    <row r="102" spans="1:22" ht="20.100000000000001" customHeight="1" x14ac:dyDescent="0.3">
      <c r="A102" s="8" t="s">
        <v>73</v>
      </c>
      <c r="B102" s="9"/>
      <c r="C102" s="9"/>
      <c r="D102" s="9"/>
      <c r="E102" s="9"/>
      <c r="F102" s="9"/>
      <c r="G102" s="9"/>
      <c r="H102" s="9"/>
      <c r="I102" s="9">
        <v>3906</v>
      </c>
      <c r="J102" s="9"/>
      <c r="K102" s="9"/>
      <c r="L102" s="9"/>
      <c r="M102" s="6"/>
      <c r="N102" s="6"/>
      <c r="O102" s="7">
        <f t="shared" si="29"/>
        <v>3906</v>
      </c>
      <c r="P102" s="23">
        <v>4500</v>
      </c>
      <c r="Q102" s="54">
        <v>4000</v>
      </c>
      <c r="R102" s="7">
        <v>7313</v>
      </c>
      <c r="S102" s="61">
        <f t="shared" si="30"/>
        <v>-3313</v>
      </c>
      <c r="T102" s="61">
        <v>15492</v>
      </c>
      <c r="U102" s="6"/>
      <c r="V102" s="78">
        <f t="shared" si="31"/>
        <v>11402.5</v>
      </c>
    </row>
    <row r="103" spans="1:22" ht="20.100000000000001" customHeight="1" x14ac:dyDescent="0.3">
      <c r="A103" s="8" t="s">
        <v>74</v>
      </c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6"/>
      <c r="N103" s="6"/>
      <c r="O103" s="7">
        <f t="shared" si="29"/>
        <v>0</v>
      </c>
      <c r="P103" s="23">
        <v>500</v>
      </c>
      <c r="Q103" s="54">
        <v>500</v>
      </c>
      <c r="R103" s="7"/>
      <c r="S103" s="61">
        <f t="shared" si="30"/>
        <v>500</v>
      </c>
      <c r="T103" s="61">
        <v>0</v>
      </c>
      <c r="U103" s="6"/>
      <c r="V103" s="78">
        <f t="shared" si="31"/>
        <v>0</v>
      </c>
    </row>
    <row r="104" spans="1:22" ht="20.100000000000001" customHeight="1" x14ac:dyDescent="0.3">
      <c r="A104" s="8" t="s">
        <v>75</v>
      </c>
      <c r="B104" s="9"/>
      <c r="C104" s="9"/>
      <c r="D104" s="9"/>
      <c r="E104" s="9"/>
      <c r="F104" s="9"/>
      <c r="G104" s="9"/>
      <c r="H104" s="9"/>
      <c r="I104" s="9"/>
      <c r="J104" s="9">
        <v>44</v>
      </c>
      <c r="K104" s="9"/>
      <c r="L104" s="9"/>
      <c r="M104" s="6"/>
      <c r="N104" s="6"/>
      <c r="O104" s="7">
        <f t="shared" si="29"/>
        <v>44</v>
      </c>
      <c r="P104" s="23">
        <v>0</v>
      </c>
      <c r="Q104" s="54">
        <v>0</v>
      </c>
      <c r="R104" s="7">
        <f>114+58</f>
        <v>172</v>
      </c>
      <c r="S104" s="61">
        <f t="shared" si="30"/>
        <v>-172</v>
      </c>
      <c r="T104" s="61">
        <v>180</v>
      </c>
      <c r="U104" s="6"/>
      <c r="V104" s="78">
        <f t="shared" si="31"/>
        <v>176</v>
      </c>
    </row>
    <row r="105" spans="1:22" ht="20.100000000000001" customHeight="1" x14ac:dyDescent="0.3">
      <c r="A105" s="8" t="s">
        <v>56</v>
      </c>
      <c r="B105" s="9"/>
      <c r="C105" s="9"/>
      <c r="D105" s="9"/>
      <c r="E105" s="9">
        <v>4091</v>
      </c>
      <c r="F105" s="9"/>
      <c r="G105" s="9"/>
      <c r="H105" s="9"/>
      <c r="I105" s="9"/>
      <c r="J105" s="9"/>
      <c r="K105" s="9"/>
      <c r="L105" s="9">
        <v>1740</v>
      </c>
      <c r="M105" s="6"/>
      <c r="N105" s="6"/>
      <c r="O105" s="7">
        <f t="shared" si="29"/>
        <v>5831</v>
      </c>
      <c r="P105" s="23">
        <v>6000</v>
      </c>
      <c r="Q105" s="54">
        <v>6000</v>
      </c>
      <c r="R105" s="7">
        <v>5655</v>
      </c>
      <c r="S105" s="61">
        <f t="shared" si="30"/>
        <v>345</v>
      </c>
      <c r="T105" s="61">
        <v>6090</v>
      </c>
      <c r="U105" s="6"/>
      <c r="V105" s="78">
        <f t="shared" si="31"/>
        <v>5872.5</v>
      </c>
    </row>
    <row r="106" spans="1:22" ht="20.100000000000001" customHeight="1" x14ac:dyDescent="0.3">
      <c r="A106" s="8" t="s">
        <v>76</v>
      </c>
      <c r="B106" s="9"/>
      <c r="C106" s="9"/>
      <c r="D106" s="9">
        <v>369</v>
      </c>
      <c r="E106" s="9"/>
      <c r="F106" s="9">
        <v>870</v>
      </c>
      <c r="G106" s="9"/>
      <c r="H106" s="9"/>
      <c r="I106" s="9">
        <v>150</v>
      </c>
      <c r="J106" s="9">
        <v>1160</v>
      </c>
      <c r="K106" s="9">
        <v>80</v>
      </c>
      <c r="L106" s="9">
        <v>80</v>
      </c>
      <c r="M106" s="9">
        <v>585</v>
      </c>
      <c r="N106" s="6"/>
      <c r="O106" s="7">
        <f t="shared" si="29"/>
        <v>3294</v>
      </c>
      <c r="P106" s="23">
        <v>750</v>
      </c>
      <c r="Q106" s="54">
        <v>2000</v>
      </c>
      <c r="R106" s="7">
        <f>889+156</f>
        <v>1045</v>
      </c>
      <c r="S106" s="61">
        <f t="shared" si="30"/>
        <v>955</v>
      </c>
      <c r="T106" s="61">
        <v>0</v>
      </c>
      <c r="U106" s="6"/>
      <c r="V106" s="78">
        <f t="shared" si="31"/>
        <v>522.5</v>
      </c>
    </row>
    <row r="107" spans="1:22" ht="20.100000000000001" customHeight="1" x14ac:dyDescent="0.3">
      <c r="A107" s="8" t="s">
        <v>149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6"/>
      <c r="O107" s="7"/>
      <c r="P107" s="23"/>
      <c r="Q107" s="54"/>
      <c r="R107" s="7"/>
      <c r="S107" s="61"/>
      <c r="T107" s="61">
        <v>312</v>
      </c>
      <c r="U107" s="6"/>
      <c r="V107" s="78">
        <f t="shared" si="31"/>
        <v>156</v>
      </c>
    </row>
    <row r="108" spans="1:22" ht="20.100000000000001" customHeight="1" x14ac:dyDescent="0.3">
      <c r="A108" s="8" t="s">
        <v>77</v>
      </c>
      <c r="B108" s="9"/>
      <c r="C108" s="9">
        <v>242</v>
      </c>
      <c r="D108" s="9"/>
      <c r="E108" s="9"/>
      <c r="F108" s="9">
        <v>-7</v>
      </c>
      <c r="G108" s="9"/>
      <c r="H108" s="9"/>
      <c r="I108" s="9">
        <v>44</v>
      </c>
      <c r="J108" s="9">
        <v>53</v>
      </c>
      <c r="K108" s="9"/>
      <c r="L108" s="9">
        <v>58</v>
      </c>
      <c r="M108" s="9">
        <v>102</v>
      </c>
      <c r="N108" s="6"/>
      <c r="O108" s="7">
        <f t="shared" si="29"/>
        <v>492</v>
      </c>
      <c r="P108" s="23">
        <v>1000</v>
      </c>
      <c r="Q108" s="54">
        <v>2000</v>
      </c>
      <c r="R108" s="7">
        <v>1484</v>
      </c>
      <c r="S108" s="61">
        <f t="shared" si="30"/>
        <v>516</v>
      </c>
      <c r="T108" s="61">
        <v>1272</v>
      </c>
      <c r="U108" s="6"/>
      <c r="V108" s="78">
        <f t="shared" si="31"/>
        <v>1378</v>
      </c>
    </row>
    <row r="109" spans="1:22" ht="20.100000000000001" customHeight="1" x14ac:dyDescent="0.3">
      <c r="A109" s="8" t="s">
        <v>62</v>
      </c>
      <c r="B109" s="9"/>
      <c r="C109" s="9"/>
      <c r="D109" s="9"/>
      <c r="E109" s="9"/>
      <c r="F109" s="9">
        <v>125</v>
      </c>
      <c r="G109" s="9">
        <v>1532</v>
      </c>
      <c r="H109" s="9"/>
      <c r="I109" s="9"/>
      <c r="J109" s="9">
        <v>5305</v>
      </c>
      <c r="K109" s="9"/>
      <c r="L109" s="9"/>
      <c r="M109" s="6">
        <v>1000</v>
      </c>
      <c r="N109" s="6"/>
      <c r="O109" s="7">
        <f t="shared" si="29"/>
        <v>7962</v>
      </c>
      <c r="P109" s="23">
        <v>4596</v>
      </c>
      <c r="Q109" s="54">
        <v>7800</v>
      </c>
      <c r="R109" s="7">
        <v>7642</v>
      </c>
      <c r="S109" s="61">
        <f t="shared" si="30"/>
        <v>158</v>
      </c>
      <c r="T109" s="61">
        <v>7800</v>
      </c>
      <c r="U109" s="6"/>
      <c r="V109" s="78">
        <f t="shared" si="31"/>
        <v>7721</v>
      </c>
    </row>
    <row r="110" spans="1:22" ht="20.100000000000001" customHeight="1" x14ac:dyDescent="0.3">
      <c r="A110" s="8" t="s">
        <v>63</v>
      </c>
      <c r="B110" s="9">
        <v>204</v>
      </c>
      <c r="C110" s="9">
        <v>168</v>
      </c>
      <c r="D110" s="9">
        <v>173</v>
      </c>
      <c r="E110" s="9">
        <v>173</v>
      </c>
      <c r="F110" s="9">
        <v>-248</v>
      </c>
      <c r="G110" s="9">
        <v>287</v>
      </c>
      <c r="H110" s="9">
        <v>197</v>
      </c>
      <c r="I110" s="9">
        <v>197</v>
      </c>
      <c r="J110" s="9">
        <v>197</v>
      </c>
      <c r="K110" s="9">
        <v>475</v>
      </c>
      <c r="L110" s="9">
        <v>192</v>
      </c>
      <c r="M110" s="9">
        <v>318</v>
      </c>
      <c r="N110" s="6"/>
      <c r="O110" s="7">
        <f t="shared" si="29"/>
        <v>2333</v>
      </c>
      <c r="P110" s="23">
        <v>2250</v>
      </c>
      <c r="Q110" s="54">
        <v>2365</v>
      </c>
      <c r="R110" s="7">
        <v>3536</v>
      </c>
      <c r="S110" s="61">
        <f t="shared" si="30"/>
        <v>-1171</v>
      </c>
      <c r="T110" s="61">
        <v>3040</v>
      </c>
      <c r="U110" s="6"/>
      <c r="V110" s="78">
        <f t="shared" si="31"/>
        <v>3288</v>
      </c>
    </row>
    <row r="111" spans="1:22" ht="20.100000000000001" customHeight="1" x14ac:dyDescent="0.3">
      <c r="A111" s="8" t="s">
        <v>64</v>
      </c>
      <c r="B111" s="9"/>
      <c r="C111" s="9"/>
      <c r="D111" s="9"/>
      <c r="E111" s="9"/>
      <c r="F111" s="9">
        <v>553</v>
      </c>
      <c r="G111" s="9"/>
      <c r="H111" s="9"/>
      <c r="I111" s="9"/>
      <c r="J111" s="9">
        <v>762</v>
      </c>
      <c r="K111" s="9"/>
      <c r="L111" s="9"/>
      <c r="M111" s="6"/>
      <c r="N111" s="6"/>
      <c r="O111" s="7">
        <f t="shared" si="29"/>
        <v>1315</v>
      </c>
      <c r="P111" s="23">
        <v>150</v>
      </c>
      <c r="Q111" s="54">
        <v>300</v>
      </c>
      <c r="R111" s="7">
        <v>181</v>
      </c>
      <c r="S111" s="61">
        <f t="shared" si="30"/>
        <v>119</v>
      </c>
      <c r="T111" s="61">
        <v>0</v>
      </c>
      <c r="U111" s="6"/>
      <c r="V111" s="78">
        <f t="shared" si="31"/>
        <v>90.5</v>
      </c>
    </row>
    <row r="112" spans="1:22" ht="20.100000000000001" customHeight="1" x14ac:dyDescent="0.3">
      <c r="A112" s="8" t="s">
        <v>65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6"/>
      <c r="N112" s="6"/>
      <c r="O112" s="7">
        <f t="shared" si="29"/>
        <v>0</v>
      </c>
      <c r="P112" s="23">
        <v>250</v>
      </c>
      <c r="Q112" s="54">
        <v>250</v>
      </c>
      <c r="R112" s="7">
        <v>1731</v>
      </c>
      <c r="S112" s="61">
        <f t="shared" si="30"/>
        <v>-1481</v>
      </c>
      <c r="T112" s="61">
        <v>117</v>
      </c>
      <c r="U112" s="6"/>
      <c r="V112" s="78">
        <f t="shared" si="31"/>
        <v>924</v>
      </c>
    </row>
    <row r="113" spans="1:22" ht="20.100000000000001" customHeight="1" x14ac:dyDescent="0.3">
      <c r="A113" s="8" t="s">
        <v>66</v>
      </c>
      <c r="B113" s="9">
        <v>114</v>
      </c>
      <c r="C113" s="9">
        <v>114</v>
      </c>
      <c r="D113" s="9">
        <v>114</v>
      </c>
      <c r="E113" s="9">
        <v>114</v>
      </c>
      <c r="F113" s="9">
        <v>114</v>
      </c>
      <c r="G113" s="9"/>
      <c r="H113" s="9"/>
      <c r="I113" s="9">
        <v>100</v>
      </c>
      <c r="J113" s="9"/>
      <c r="K113" s="9"/>
      <c r="L113" s="9"/>
      <c r="M113" s="6"/>
      <c r="N113" s="6"/>
      <c r="O113" s="7">
        <f t="shared" si="29"/>
        <v>670</v>
      </c>
      <c r="P113" s="23">
        <v>1200</v>
      </c>
      <c r="Q113" s="54">
        <v>100</v>
      </c>
      <c r="R113" s="7">
        <v>200</v>
      </c>
      <c r="S113" s="61">
        <f t="shared" si="30"/>
        <v>-100</v>
      </c>
      <c r="T113" s="61">
        <v>200</v>
      </c>
      <c r="U113" s="6"/>
      <c r="V113" s="78">
        <f t="shared" si="31"/>
        <v>200</v>
      </c>
    </row>
    <row r="114" spans="1:22" ht="20.100000000000001" customHeight="1" x14ac:dyDescent="0.3">
      <c r="A114" s="8" t="s">
        <v>78</v>
      </c>
      <c r="B114" s="9">
        <v>2163</v>
      </c>
      <c r="C114" s="9">
        <v>2398</v>
      </c>
      <c r="D114" s="9">
        <v>1751</v>
      </c>
      <c r="E114" s="9">
        <v>1217</v>
      </c>
      <c r="F114" s="9">
        <v>2738</v>
      </c>
      <c r="G114" s="9"/>
      <c r="H114" s="9">
        <v>870</v>
      </c>
      <c r="I114" s="9">
        <v>1805</v>
      </c>
      <c r="J114" s="9"/>
      <c r="K114" s="9">
        <v>1738</v>
      </c>
      <c r="L114" s="9">
        <v>1028</v>
      </c>
      <c r="M114" s="9">
        <v>2182</v>
      </c>
      <c r="N114" s="6"/>
      <c r="O114" s="7">
        <f t="shared" si="29"/>
        <v>17890</v>
      </c>
      <c r="P114" s="23">
        <v>22500</v>
      </c>
      <c r="Q114" s="54">
        <v>22500</v>
      </c>
      <c r="R114" s="7">
        <v>14761</v>
      </c>
      <c r="S114" s="61">
        <f t="shared" si="30"/>
        <v>7739</v>
      </c>
      <c r="T114" s="61">
        <v>11171</v>
      </c>
      <c r="U114" s="6"/>
      <c r="V114" s="78">
        <f t="shared" si="31"/>
        <v>12966</v>
      </c>
    </row>
    <row r="115" spans="1:22" ht="20.100000000000001" customHeight="1" x14ac:dyDescent="0.3">
      <c r="A115" s="8" t="s">
        <v>67</v>
      </c>
      <c r="B115" s="9"/>
      <c r="C115" s="9">
        <v>707</v>
      </c>
      <c r="D115" s="9"/>
      <c r="E115" s="9"/>
      <c r="F115" s="9">
        <v>100</v>
      </c>
      <c r="G115" s="9"/>
      <c r="H115" s="9"/>
      <c r="I115" s="9">
        <v>285</v>
      </c>
      <c r="J115" s="9"/>
      <c r="K115" s="9"/>
      <c r="L115" s="9"/>
      <c r="M115" s="6"/>
      <c r="N115" s="6"/>
      <c r="O115" s="7">
        <f t="shared" si="29"/>
        <v>1092</v>
      </c>
      <c r="P115" s="23">
        <v>1000</v>
      </c>
      <c r="Q115" s="54">
        <v>1200</v>
      </c>
      <c r="R115" s="7">
        <v>285</v>
      </c>
      <c r="S115" s="61">
        <f t="shared" si="30"/>
        <v>915</v>
      </c>
      <c r="T115" s="61">
        <v>570</v>
      </c>
      <c r="U115" s="6"/>
      <c r="V115" s="78">
        <f t="shared" si="31"/>
        <v>427.5</v>
      </c>
    </row>
    <row r="116" spans="1:22" ht="20.100000000000001" customHeight="1" x14ac:dyDescent="0.3">
      <c r="A116" s="8" t="s">
        <v>79</v>
      </c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>
        <v>10</v>
      </c>
      <c r="M116" s="6"/>
      <c r="N116" s="6"/>
      <c r="O116" s="7">
        <f t="shared" si="29"/>
        <v>10</v>
      </c>
      <c r="P116" s="23">
        <v>750</v>
      </c>
      <c r="Q116" s="54">
        <v>250</v>
      </c>
      <c r="R116" s="7">
        <v>54</v>
      </c>
      <c r="S116" s="61">
        <f t="shared" si="30"/>
        <v>196</v>
      </c>
      <c r="T116" s="61">
        <v>0</v>
      </c>
      <c r="U116" s="6"/>
      <c r="V116" s="78">
        <f t="shared" si="31"/>
        <v>27</v>
      </c>
    </row>
    <row r="117" spans="1:22" ht="20.100000000000001" customHeight="1" x14ac:dyDescent="0.3">
      <c r="A117" s="8" t="s">
        <v>68</v>
      </c>
      <c r="B117" s="9"/>
      <c r="C117" s="9">
        <v>108</v>
      </c>
      <c r="D117" s="9">
        <v>542</v>
      </c>
      <c r="E117" s="9"/>
      <c r="F117" s="9"/>
      <c r="G117" s="9"/>
      <c r="H117" s="9"/>
      <c r="I117" s="9"/>
      <c r="J117" s="9">
        <v>914</v>
      </c>
      <c r="K117" s="9"/>
      <c r="L117" s="9">
        <v>34</v>
      </c>
      <c r="M117" s="6"/>
      <c r="N117" s="6"/>
      <c r="O117" s="7">
        <f t="shared" si="29"/>
        <v>1598</v>
      </c>
      <c r="P117" s="23">
        <v>500</v>
      </c>
      <c r="Q117" s="54">
        <v>1250</v>
      </c>
      <c r="R117" s="7">
        <v>866</v>
      </c>
      <c r="S117" s="61">
        <f t="shared" si="30"/>
        <v>384</v>
      </c>
      <c r="T117" s="61">
        <v>678</v>
      </c>
      <c r="U117" s="6"/>
      <c r="V117" s="78">
        <f t="shared" si="31"/>
        <v>772</v>
      </c>
    </row>
    <row r="118" spans="1:22" ht="20.100000000000001" customHeight="1" x14ac:dyDescent="0.3">
      <c r="A118" s="8" t="s">
        <v>69</v>
      </c>
      <c r="B118" s="9">
        <v>17</v>
      </c>
      <c r="C118" s="9">
        <v>17</v>
      </c>
      <c r="D118" s="9">
        <v>17</v>
      </c>
      <c r="E118" s="9">
        <v>17</v>
      </c>
      <c r="F118" s="9">
        <v>-50</v>
      </c>
      <c r="G118" s="9"/>
      <c r="H118" s="9">
        <v>17</v>
      </c>
      <c r="I118" s="9">
        <v>15</v>
      </c>
      <c r="J118" s="9">
        <v>17</v>
      </c>
      <c r="K118" s="9">
        <v>17</v>
      </c>
      <c r="L118" s="9">
        <v>17</v>
      </c>
      <c r="M118" s="9">
        <v>14</v>
      </c>
      <c r="N118" s="6"/>
      <c r="O118" s="7">
        <f t="shared" si="29"/>
        <v>115</v>
      </c>
      <c r="P118" s="23">
        <v>210</v>
      </c>
      <c r="Q118" s="54">
        <v>175</v>
      </c>
      <c r="R118" s="7">
        <v>170</v>
      </c>
      <c r="S118" s="61">
        <f t="shared" si="30"/>
        <v>5</v>
      </c>
      <c r="T118" s="61">
        <v>158</v>
      </c>
      <c r="U118" s="6"/>
      <c r="V118" s="78">
        <f t="shared" si="31"/>
        <v>164</v>
      </c>
    </row>
    <row r="119" spans="1:22" ht="20.100000000000001" customHeight="1" x14ac:dyDescent="0.3">
      <c r="A119" s="8" t="s">
        <v>80</v>
      </c>
      <c r="B119" s="9">
        <v>876</v>
      </c>
      <c r="C119" s="9"/>
      <c r="D119" s="9">
        <v>3010</v>
      </c>
      <c r="E119" s="9"/>
      <c r="F119" s="9">
        <v>2175</v>
      </c>
      <c r="G119" s="9">
        <v>1191</v>
      </c>
      <c r="H119" s="9">
        <v>814</v>
      </c>
      <c r="I119" s="9">
        <v>470</v>
      </c>
      <c r="J119" s="9">
        <v>421</v>
      </c>
      <c r="K119" s="9">
        <v>652</v>
      </c>
      <c r="L119" s="9">
        <v>418</v>
      </c>
      <c r="M119" s="9">
        <v>500</v>
      </c>
      <c r="N119" s="6"/>
      <c r="O119" s="7">
        <f t="shared" si="29"/>
        <v>10527</v>
      </c>
      <c r="P119" s="23">
        <v>7500</v>
      </c>
      <c r="Q119" s="54">
        <v>8000</v>
      </c>
      <c r="R119" s="7">
        <v>6106</v>
      </c>
      <c r="S119" s="61">
        <f t="shared" si="30"/>
        <v>1894</v>
      </c>
      <c r="T119" s="61">
        <v>6767</v>
      </c>
      <c r="U119" s="6"/>
      <c r="V119" s="78">
        <f t="shared" si="31"/>
        <v>6436.5</v>
      </c>
    </row>
    <row r="120" spans="1:22" ht="20.100000000000001" customHeight="1" x14ac:dyDescent="0.3">
      <c r="A120" s="8" t="s">
        <v>81</v>
      </c>
      <c r="B120" s="9"/>
      <c r="C120" s="9"/>
      <c r="D120" s="9"/>
      <c r="E120" s="9"/>
      <c r="F120" s="9"/>
      <c r="G120" s="9"/>
      <c r="H120" s="9"/>
      <c r="I120" s="9">
        <v>310</v>
      </c>
      <c r="J120" s="9">
        <v>6758</v>
      </c>
      <c r="K120" s="9"/>
      <c r="L120" s="9">
        <v>554</v>
      </c>
      <c r="M120" s="6"/>
      <c r="N120" s="6"/>
      <c r="O120" s="7">
        <f t="shared" si="29"/>
        <v>7622</v>
      </c>
      <c r="P120" s="23">
        <v>0</v>
      </c>
      <c r="Q120" s="54">
        <v>0</v>
      </c>
      <c r="R120" s="7"/>
      <c r="S120" s="61">
        <f t="shared" si="30"/>
        <v>0</v>
      </c>
      <c r="T120" s="61">
        <v>0</v>
      </c>
      <c r="U120" s="6"/>
      <c r="V120" s="78">
        <f t="shared" si="31"/>
        <v>0</v>
      </c>
    </row>
    <row r="121" spans="1:22" ht="20.100000000000001" customHeight="1" x14ac:dyDescent="0.3">
      <c r="A121" s="8" t="s">
        <v>71</v>
      </c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6"/>
      <c r="N121" s="6"/>
      <c r="O121" s="7">
        <f t="shared" si="29"/>
        <v>0</v>
      </c>
      <c r="P121" s="23">
        <v>500</v>
      </c>
      <c r="Q121" s="54">
        <v>1400</v>
      </c>
      <c r="R121" s="7"/>
      <c r="S121" s="61">
        <f t="shared" si="30"/>
        <v>1400</v>
      </c>
      <c r="T121" s="61">
        <v>0</v>
      </c>
      <c r="U121" s="6"/>
      <c r="V121" s="78">
        <f t="shared" si="31"/>
        <v>0</v>
      </c>
    </row>
    <row r="122" spans="1:22" ht="20.100000000000001" customHeight="1" x14ac:dyDescent="0.3">
      <c r="A122" s="10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6"/>
      <c r="N122" s="6"/>
      <c r="O122" s="6"/>
      <c r="P122" s="7"/>
      <c r="Q122" s="7"/>
      <c r="R122" s="7"/>
      <c r="S122" s="61"/>
      <c r="T122" s="61"/>
      <c r="U122" s="6"/>
      <c r="V122" s="7"/>
    </row>
    <row r="123" spans="1:22" s="76" customFormat="1" ht="20.100000000000001" customHeight="1" x14ac:dyDescent="0.3">
      <c r="A123" s="70" t="s">
        <v>117</v>
      </c>
      <c r="B123" s="33">
        <f>SUM(B99:B121)</f>
        <v>14394</v>
      </c>
      <c r="C123" s="33">
        <f>SUM(C99:C121)</f>
        <v>13343</v>
      </c>
      <c r="D123" s="33">
        <f>SUM(D99:D121)</f>
        <v>17246</v>
      </c>
      <c r="E123" s="33">
        <f t="shared" ref="E123:N123" si="32">SUM(E99:E121)</f>
        <v>15603</v>
      </c>
      <c r="F123" s="33">
        <f t="shared" si="32"/>
        <v>19143</v>
      </c>
      <c r="G123" s="33">
        <f t="shared" si="32"/>
        <v>15174</v>
      </c>
      <c r="H123" s="33">
        <f t="shared" si="32"/>
        <v>9449</v>
      </c>
      <c r="I123" s="33">
        <f t="shared" si="32"/>
        <v>13099</v>
      </c>
      <c r="J123" s="33">
        <f t="shared" si="32"/>
        <v>27710</v>
      </c>
      <c r="K123" s="33">
        <f t="shared" si="32"/>
        <v>12452</v>
      </c>
      <c r="L123" s="33">
        <f t="shared" si="32"/>
        <v>12665</v>
      </c>
      <c r="M123" s="33">
        <f t="shared" si="32"/>
        <v>16277</v>
      </c>
      <c r="N123" s="33">
        <f t="shared" si="32"/>
        <v>0</v>
      </c>
      <c r="O123" s="71">
        <f>SUM(O99:O121)</f>
        <v>186555</v>
      </c>
      <c r="P123" s="72">
        <f>SUM(P99:P122)</f>
        <v>185790</v>
      </c>
      <c r="Q123" s="73">
        <f>SUM(Q99:Q122)</f>
        <v>206628.448</v>
      </c>
      <c r="R123" s="74">
        <f>SUM(R99:R122)</f>
        <v>203013</v>
      </c>
      <c r="S123" s="75">
        <f>SUM(S99:S122)</f>
        <v>3615.4480000000003</v>
      </c>
      <c r="T123" s="66">
        <f>SUM(T99:T122)</f>
        <v>205659</v>
      </c>
      <c r="U123" s="45"/>
      <c r="V123" s="82">
        <f>SUM(V99:V122)</f>
        <v>226922</v>
      </c>
    </row>
    <row r="124" spans="1:22" ht="20.100000000000001" customHeight="1" x14ac:dyDescent="0.3">
      <c r="A124" s="12" t="s">
        <v>0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6"/>
      <c r="N124" s="6"/>
      <c r="O124" s="6"/>
      <c r="P124" s="7"/>
      <c r="Q124" s="7"/>
      <c r="R124" s="7"/>
      <c r="S124" s="7"/>
      <c r="T124" s="7"/>
      <c r="U124" s="6"/>
      <c r="V124" s="7"/>
    </row>
    <row r="125" spans="1:22" s="44" customFormat="1" ht="20.100000000000001" customHeight="1" x14ac:dyDescent="0.3">
      <c r="A125" s="45" t="s">
        <v>82</v>
      </c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7"/>
      <c r="N125" s="47"/>
      <c r="O125" s="47"/>
      <c r="P125" s="46"/>
      <c r="Q125" s="46"/>
      <c r="R125" s="46"/>
      <c r="S125" s="46"/>
      <c r="T125" s="46"/>
      <c r="U125" s="47"/>
      <c r="V125" s="46"/>
    </row>
    <row r="126" spans="1:22" ht="20.100000000000001" customHeight="1" x14ac:dyDescent="0.3">
      <c r="A126" s="8" t="s">
        <v>50</v>
      </c>
      <c r="B126" s="9">
        <v>2957</v>
      </c>
      <c r="C126" s="9">
        <v>2872</v>
      </c>
      <c r="D126" s="9">
        <v>2465</v>
      </c>
      <c r="E126" s="9">
        <v>2878</v>
      </c>
      <c r="F126" s="9">
        <v>2114</v>
      </c>
      <c r="G126" s="9">
        <v>15</v>
      </c>
      <c r="H126" s="9"/>
      <c r="I126" s="9">
        <v>275</v>
      </c>
      <c r="J126" s="9">
        <v>2394</v>
      </c>
      <c r="K126" s="9">
        <v>1863</v>
      </c>
      <c r="L126" s="9">
        <v>1609</v>
      </c>
      <c r="M126" s="9">
        <v>1866</v>
      </c>
      <c r="N126" s="6"/>
      <c r="O126" s="7">
        <f>SUM(B126:N126)</f>
        <v>21308</v>
      </c>
      <c r="P126" s="23">
        <v>35200</v>
      </c>
      <c r="Q126" s="54">
        <v>0</v>
      </c>
      <c r="R126" s="7">
        <f>12*2080</f>
        <v>24960</v>
      </c>
      <c r="S126" s="61">
        <f>Q126-R126</f>
        <v>-24960</v>
      </c>
      <c r="T126" s="61">
        <v>24960</v>
      </c>
      <c r="U126" s="6"/>
      <c r="V126" s="78">
        <v>27803</v>
      </c>
    </row>
    <row r="127" spans="1:22" ht="20.100000000000001" customHeight="1" x14ac:dyDescent="0.3">
      <c r="A127" s="8" t="s">
        <v>51</v>
      </c>
      <c r="B127" s="9">
        <v>226</v>
      </c>
      <c r="C127" s="9">
        <v>220</v>
      </c>
      <c r="D127" s="9">
        <v>189</v>
      </c>
      <c r="E127" s="9">
        <v>220</v>
      </c>
      <c r="F127" s="9">
        <v>162</v>
      </c>
      <c r="G127" s="9"/>
      <c r="H127" s="9"/>
      <c r="I127" s="9">
        <v>216</v>
      </c>
      <c r="J127" s="9">
        <v>21</v>
      </c>
      <c r="K127" s="9">
        <v>183</v>
      </c>
      <c r="L127" s="9">
        <v>143</v>
      </c>
      <c r="M127" s="6"/>
      <c r="N127" s="6"/>
      <c r="O127" s="7">
        <f t="shared" ref="O127:O146" si="33">SUM(B127:N127)</f>
        <v>1580</v>
      </c>
      <c r="P127" s="23">
        <v>2693</v>
      </c>
      <c r="Q127" s="54">
        <v>0</v>
      </c>
      <c r="R127" s="7">
        <v>1909</v>
      </c>
      <c r="S127" s="61">
        <f t="shared" ref="S127:S146" si="34">Q127-R127</f>
        <v>-1909</v>
      </c>
      <c r="T127" s="61">
        <v>1909</v>
      </c>
      <c r="U127" s="6"/>
      <c r="V127" s="78">
        <v>2127</v>
      </c>
    </row>
    <row r="128" spans="1:22" ht="20.100000000000001" customHeight="1" x14ac:dyDescent="0.3">
      <c r="A128" s="8" t="s">
        <v>52</v>
      </c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6"/>
      <c r="N128" s="6"/>
      <c r="O128" s="7">
        <f t="shared" si="33"/>
        <v>0</v>
      </c>
      <c r="P128" s="23">
        <v>100</v>
      </c>
      <c r="Q128" s="54">
        <v>0</v>
      </c>
      <c r="R128" s="7">
        <v>0</v>
      </c>
      <c r="S128" s="61">
        <f t="shared" si="34"/>
        <v>0</v>
      </c>
      <c r="T128" s="61">
        <v>100</v>
      </c>
      <c r="U128" s="6"/>
      <c r="V128" s="78">
        <f t="shared" ref="V128:V146" si="35">SUM(R128+T128)/2</f>
        <v>50</v>
      </c>
    </row>
    <row r="129" spans="1:22" ht="20.100000000000001" customHeight="1" x14ac:dyDescent="0.3">
      <c r="A129" s="8" t="s">
        <v>73</v>
      </c>
      <c r="B129" s="9"/>
      <c r="C129" s="9"/>
      <c r="D129" s="9"/>
      <c r="E129" s="9"/>
      <c r="F129" s="9"/>
      <c r="G129" s="9"/>
      <c r="H129" s="9"/>
      <c r="I129" s="9">
        <v>612</v>
      </c>
      <c r="J129" s="9"/>
      <c r="K129" s="9"/>
      <c r="L129" s="9"/>
      <c r="M129" s="6"/>
      <c r="N129" s="6"/>
      <c r="O129" s="7">
        <f t="shared" si="33"/>
        <v>612</v>
      </c>
      <c r="P129" s="23">
        <v>3000</v>
      </c>
      <c r="Q129" s="54">
        <v>0</v>
      </c>
      <c r="R129" s="7">
        <v>458</v>
      </c>
      <c r="S129" s="61">
        <f t="shared" si="34"/>
        <v>-458</v>
      </c>
      <c r="T129" s="61">
        <v>800</v>
      </c>
      <c r="U129" s="6"/>
      <c r="V129" s="78">
        <f t="shared" si="35"/>
        <v>629</v>
      </c>
    </row>
    <row r="130" spans="1:22" ht="20.100000000000001" customHeight="1" x14ac:dyDescent="0.3">
      <c r="A130" s="8" t="s">
        <v>74</v>
      </c>
      <c r="B130" s="9"/>
      <c r="C130" s="9"/>
      <c r="D130" s="9"/>
      <c r="E130" s="9">
        <v>20</v>
      </c>
      <c r="F130" s="9">
        <v>202</v>
      </c>
      <c r="G130" s="9"/>
      <c r="H130" s="9"/>
      <c r="I130" s="9"/>
      <c r="J130" s="9"/>
      <c r="K130" s="9"/>
      <c r="L130" s="9"/>
      <c r="M130" s="6"/>
      <c r="N130" s="6"/>
      <c r="O130" s="7">
        <f t="shared" si="33"/>
        <v>222</v>
      </c>
      <c r="P130" s="23">
        <v>400</v>
      </c>
      <c r="Q130" s="54">
        <v>0</v>
      </c>
      <c r="R130" s="7">
        <v>0</v>
      </c>
      <c r="S130" s="61">
        <f t="shared" si="34"/>
        <v>0</v>
      </c>
      <c r="T130" s="61">
        <v>0</v>
      </c>
      <c r="U130" s="6"/>
      <c r="V130" s="78">
        <f t="shared" si="35"/>
        <v>0</v>
      </c>
    </row>
    <row r="131" spans="1:22" ht="20.100000000000001" customHeight="1" x14ac:dyDescent="0.3">
      <c r="A131" s="8" t="s">
        <v>83</v>
      </c>
      <c r="B131" s="9"/>
      <c r="C131" s="9"/>
      <c r="D131" s="9"/>
      <c r="E131" s="9"/>
      <c r="F131" s="9"/>
      <c r="G131" s="9"/>
      <c r="H131" s="9"/>
      <c r="I131" s="9">
        <v>22</v>
      </c>
      <c r="J131" s="9">
        <v>44</v>
      </c>
      <c r="K131" s="9"/>
      <c r="L131" s="9"/>
      <c r="M131" s="6"/>
      <c r="N131" s="6"/>
      <c r="O131" s="7">
        <f t="shared" si="33"/>
        <v>66</v>
      </c>
      <c r="P131" s="23">
        <v>0</v>
      </c>
      <c r="Q131" s="54">
        <v>0</v>
      </c>
      <c r="R131" s="7"/>
      <c r="S131" s="61">
        <f t="shared" si="34"/>
        <v>0</v>
      </c>
      <c r="T131" s="61">
        <v>0</v>
      </c>
      <c r="U131" s="6"/>
      <c r="V131" s="78">
        <f t="shared" si="35"/>
        <v>0</v>
      </c>
    </row>
    <row r="132" spans="1:22" ht="20.100000000000001" customHeight="1" x14ac:dyDescent="0.3">
      <c r="A132" s="8" t="s">
        <v>84</v>
      </c>
      <c r="B132" s="9"/>
      <c r="C132" s="9"/>
      <c r="D132" s="9"/>
      <c r="E132" s="9"/>
      <c r="F132" s="9"/>
      <c r="G132" s="9"/>
      <c r="H132" s="9"/>
      <c r="I132" s="9"/>
      <c r="J132" s="9">
        <v>241</v>
      </c>
      <c r="K132" s="9"/>
      <c r="L132" s="9"/>
      <c r="M132" s="6"/>
      <c r="N132" s="6"/>
      <c r="O132" s="7">
        <f t="shared" si="33"/>
        <v>241</v>
      </c>
      <c r="P132" s="23">
        <v>0</v>
      </c>
      <c r="Q132" s="54">
        <v>0</v>
      </c>
      <c r="R132" s="7"/>
      <c r="S132" s="61">
        <f t="shared" si="34"/>
        <v>0</v>
      </c>
      <c r="T132" s="61">
        <v>0</v>
      </c>
      <c r="U132" s="6"/>
      <c r="V132" s="78">
        <f t="shared" si="35"/>
        <v>0</v>
      </c>
    </row>
    <row r="133" spans="1:22" ht="20.100000000000001" customHeight="1" x14ac:dyDescent="0.3">
      <c r="A133" s="8" t="s">
        <v>85</v>
      </c>
      <c r="B133" s="9"/>
      <c r="C133" s="9"/>
      <c r="D133" s="9"/>
      <c r="E133" s="9">
        <v>560</v>
      </c>
      <c r="F133" s="9"/>
      <c r="G133" s="9"/>
      <c r="H133" s="9"/>
      <c r="I133" s="9">
        <v>450</v>
      </c>
      <c r="J133" s="9"/>
      <c r="K133" s="9">
        <v>1064</v>
      </c>
      <c r="L133" s="9"/>
      <c r="M133" s="6"/>
      <c r="N133" s="6"/>
      <c r="O133" s="7">
        <f t="shared" si="33"/>
        <v>2074</v>
      </c>
      <c r="P133" s="23">
        <v>2000</v>
      </c>
      <c r="Q133" s="54">
        <v>1500</v>
      </c>
      <c r="R133" s="7">
        <v>600</v>
      </c>
      <c r="S133" s="61">
        <f t="shared" si="34"/>
        <v>900</v>
      </c>
      <c r="T133" s="61">
        <v>0</v>
      </c>
      <c r="U133" s="6"/>
      <c r="V133" s="78">
        <f t="shared" si="35"/>
        <v>300</v>
      </c>
    </row>
    <row r="134" spans="1:22" ht="20.100000000000001" customHeight="1" x14ac:dyDescent="0.3">
      <c r="A134" s="8" t="s">
        <v>86</v>
      </c>
      <c r="B134" s="9"/>
      <c r="C134" s="9">
        <v>445</v>
      </c>
      <c r="D134" s="9">
        <v>722</v>
      </c>
      <c r="E134" s="9">
        <v>3786</v>
      </c>
      <c r="F134" s="9">
        <v>-563</v>
      </c>
      <c r="G134" s="9"/>
      <c r="H134" s="9"/>
      <c r="I134" s="9">
        <v>5</v>
      </c>
      <c r="J134" s="9">
        <v>154</v>
      </c>
      <c r="K134" s="9"/>
      <c r="L134" s="9">
        <v>526</v>
      </c>
      <c r="M134" s="9">
        <v>24</v>
      </c>
      <c r="N134" s="6"/>
      <c r="O134" s="7">
        <f t="shared" si="33"/>
        <v>5099</v>
      </c>
      <c r="P134" s="23">
        <v>2000</v>
      </c>
      <c r="Q134" s="54">
        <v>2000</v>
      </c>
      <c r="R134" s="7">
        <v>3216</v>
      </c>
      <c r="S134" s="61">
        <f t="shared" si="34"/>
        <v>-1216</v>
      </c>
      <c r="T134" s="61">
        <v>3864</v>
      </c>
      <c r="U134" s="6"/>
      <c r="V134" s="78">
        <v>2500</v>
      </c>
    </row>
    <row r="135" spans="1:22" ht="20.100000000000001" customHeight="1" x14ac:dyDescent="0.3">
      <c r="A135" s="8" t="s">
        <v>87</v>
      </c>
      <c r="B135" s="9"/>
      <c r="C135" s="9">
        <v>10</v>
      </c>
      <c r="D135" s="9"/>
      <c r="E135" s="9"/>
      <c r="F135" s="9"/>
      <c r="G135" s="9"/>
      <c r="H135" s="9"/>
      <c r="I135" s="9">
        <v>52</v>
      </c>
      <c r="J135" s="9"/>
      <c r="K135" s="9"/>
      <c r="L135" s="9"/>
      <c r="M135" s="6"/>
      <c r="N135" s="6"/>
      <c r="O135" s="7">
        <f t="shared" si="33"/>
        <v>62</v>
      </c>
      <c r="P135" s="23">
        <v>0</v>
      </c>
      <c r="Q135" s="54">
        <v>0</v>
      </c>
      <c r="R135" s="7"/>
      <c r="S135" s="61">
        <f t="shared" si="34"/>
        <v>0</v>
      </c>
      <c r="T135" s="61">
        <v>0</v>
      </c>
      <c r="U135" s="6"/>
      <c r="V135" s="78">
        <f t="shared" si="35"/>
        <v>0</v>
      </c>
    </row>
    <row r="136" spans="1:22" ht="20.100000000000001" customHeight="1" x14ac:dyDescent="0.3">
      <c r="A136" s="8" t="s">
        <v>88</v>
      </c>
      <c r="B136" s="9"/>
      <c r="C136" s="9"/>
      <c r="D136" s="9"/>
      <c r="E136" s="9"/>
      <c r="F136" s="9">
        <v>55</v>
      </c>
      <c r="G136" s="9"/>
      <c r="H136" s="9"/>
      <c r="I136" s="9"/>
      <c r="J136" s="9"/>
      <c r="K136" s="9"/>
      <c r="L136" s="9"/>
      <c r="M136" s="6"/>
      <c r="N136" s="6"/>
      <c r="O136" s="7">
        <f t="shared" si="33"/>
        <v>55</v>
      </c>
      <c r="P136" s="23">
        <v>1000</v>
      </c>
      <c r="Q136" s="54">
        <v>500</v>
      </c>
      <c r="R136" s="7"/>
      <c r="S136" s="61">
        <f t="shared" si="34"/>
        <v>500</v>
      </c>
      <c r="T136" s="61">
        <v>1000</v>
      </c>
      <c r="U136" s="6"/>
      <c r="V136" s="78">
        <f t="shared" si="35"/>
        <v>500</v>
      </c>
    </row>
    <row r="137" spans="1:22" ht="20.100000000000001" customHeight="1" x14ac:dyDescent="0.3">
      <c r="A137" s="8" t="s">
        <v>62</v>
      </c>
      <c r="B137" s="9"/>
      <c r="C137" s="9"/>
      <c r="D137" s="9"/>
      <c r="E137" s="9"/>
      <c r="F137" s="9">
        <v>44</v>
      </c>
      <c r="G137" s="9">
        <v>328</v>
      </c>
      <c r="H137" s="9"/>
      <c r="I137" s="9"/>
      <c r="J137" s="9">
        <v>1137</v>
      </c>
      <c r="K137" s="9"/>
      <c r="L137" s="9"/>
      <c r="M137" s="6"/>
      <c r="N137" s="6"/>
      <c r="O137" s="7">
        <f t="shared" si="33"/>
        <v>1509</v>
      </c>
      <c r="P137" s="23">
        <v>985</v>
      </c>
      <c r="Q137" s="54">
        <v>1500</v>
      </c>
      <c r="R137" s="7">
        <v>1004</v>
      </c>
      <c r="S137" s="61">
        <f t="shared" si="34"/>
        <v>496</v>
      </c>
      <c r="T137" s="61">
        <v>1500</v>
      </c>
      <c r="U137" s="6"/>
      <c r="V137" s="78">
        <f t="shared" si="35"/>
        <v>1252</v>
      </c>
    </row>
    <row r="138" spans="1:22" ht="20.100000000000001" customHeight="1" x14ac:dyDescent="0.3">
      <c r="A138" s="8" t="s">
        <v>89</v>
      </c>
      <c r="B138" s="9"/>
      <c r="C138" s="9"/>
      <c r="D138" s="9"/>
      <c r="E138" s="9"/>
      <c r="F138" s="9"/>
      <c r="G138" s="9"/>
      <c r="H138" s="9">
        <v>24</v>
      </c>
      <c r="I138" s="9">
        <v>24</v>
      </c>
      <c r="J138" s="9">
        <v>24</v>
      </c>
      <c r="K138" s="9">
        <v>24</v>
      </c>
      <c r="L138" s="9">
        <v>24</v>
      </c>
      <c r="M138" s="9">
        <v>24</v>
      </c>
      <c r="N138" s="6"/>
      <c r="O138" s="7">
        <f t="shared" si="33"/>
        <v>144</v>
      </c>
      <c r="P138" s="23">
        <v>0</v>
      </c>
      <c r="Q138" s="54">
        <v>300</v>
      </c>
      <c r="R138" s="7">
        <v>156</v>
      </c>
      <c r="S138" s="61">
        <f t="shared" si="34"/>
        <v>144</v>
      </c>
      <c r="T138" s="61">
        <v>504</v>
      </c>
      <c r="U138" s="6"/>
      <c r="V138" s="78">
        <f t="shared" si="35"/>
        <v>330</v>
      </c>
    </row>
    <row r="139" spans="1:22" ht="20.100000000000001" customHeight="1" x14ac:dyDescent="0.3">
      <c r="A139" s="8" t="s">
        <v>64</v>
      </c>
      <c r="B139" s="9"/>
      <c r="C139" s="9"/>
      <c r="D139" s="9"/>
      <c r="E139" s="9"/>
      <c r="F139" s="9">
        <v>120</v>
      </c>
      <c r="G139" s="9"/>
      <c r="H139" s="9"/>
      <c r="I139" s="9"/>
      <c r="J139" s="9"/>
      <c r="K139" s="9"/>
      <c r="L139" s="9"/>
      <c r="M139" s="6"/>
      <c r="N139" s="6"/>
      <c r="O139" s="7">
        <f t="shared" si="33"/>
        <v>120</v>
      </c>
      <c r="P139" s="23">
        <v>150</v>
      </c>
      <c r="Q139" s="54">
        <v>100</v>
      </c>
      <c r="R139" s="7">
        <v>331</v>
      </c>
      <c r="S139" s="61">
        <f t="shared" si="34"/>
        <v>-231</v>
      </c>
      <c r="T139" s="61">
        <v>100</v>
      </c>
      <c r="U139" s="6"/>
      <c r="V139" s="78">
        <f t="shared" si="35"/>
        <v>215.5</v>
      </c>
    </row>
    <row r="140" spans="1:22" ht="20.100000000000001" customHeight="1" x14ac:dyDescent="0.3">
      <c r="A140" s="8" t="s">
        <v>90</v>
      </c>
      <c r="B140" s="9">
        <v>63</v>
      </c>
      <c r="C140" s="9">
        <v>63</v>
      </c>
      <c r="D140" s="9">
        <v>306</v>
      </c>
      <c r="E140" s="9">
        <v>84</v>
      </c>
      <c r="F140" s="9">
        <v>-1640</v>
      </c>
      <c r="G140" s="9"/>
      <c r="H140" s="9">
        <v>62</v>
      </c>
      <c r="I140" s="9">
        <v>53</v>
      </c>
      <c r="J140" s="9">
        <v>76</v>
      </c>
      <c r="K140" s="9">
        <v>100</v>
      </c>
      <c r="L140" s="9">
        <v>67</v>
      </c>
      <c r="M140" s="9">
        <v>99</v>
      </c>
      <c r="N140" s="6"/>
      <c r="O140" s="7">
        <f t="shared" si="33"/>
        <v>-667</v>
      </c>
      <c r="P140" s="23">
        <v>1500</v>
      </c>
      <c r="Q140" s="54">
        <v>1000</v>
      </c>
      <c r="R140" s="7">
        <v>1310</v>
      </c>
      <c r="S140" s="61">
        <f t="shared" si="34"/>
        <v>-310</v>
      </c>
      <c r="T140" s="61">
        <v>1031</v>
      </c>
      <c r="U140" s="6"/>
      <c r="V140" s="78">
        <f t="shared" si="35"/>
        <v>1170.5</v>
      </c>
    </row>
    <row r="141" spans="1:22" ht="20.100000000000001" customHeight="1" x14ac:dyDescent="0.3">
      <c r="A141" s="8" t="s">
        <v>47</v>
      </c>
      <c r="B141" s="9">
        <v>1714</v>
      </c>
      <c r="C141" s="9">
        <v>1714</v>
      </c>
      <c r="D141" s="9">
        <v>1714</v>
      </c>
      <c r="E141" s="9">
        <v>1714</v>
      </c>
      <c r="F141" s="9">
        <v>2999</v>
      </c>
      <c r="G141" s="9"/>
      <c r="H141" s="9">
        <v>2142</v>
      </c>
      <c r="I141" s="9">
        <v>1714</v>
      </c>
      <c r="J141" s="9">
        <v>1714</v>
      </c>
      <c r="K141" s="9">
        <v>2142</v>
      </c>
      <c r="L141" s="9">
        <v>1714</v>
      </c>
      <c r="M141" s="9">
        <v>1714</v>
      </c>
      <c r="N141" s="6"/>
      <c r="O141" s="7">
        <f t="shared" si="33"/>
        <v>20995</v>
      </c>
      <c r="P141" s="23">
        <v>22000</v>
      </c>
      <c r="Q141" s="54">
        <v>73000</v>
      </c>
      <c r="R141" s="7">
        <v>66158</v>
      </c>
      <c r="S141" s="61">
        <f t="shared" si="34"/>
        <v>6842</v>
      </c>
      <c r="T141" s="61">
        <v>62245</v>
      </c>
      <c r="U141" s="6"/>
      <c r="V141" s="78">
        <v>5500</v>
      </c>
    </row>
    <row r="142" spans="1:22" ht="20.100000000000001" customHeight="1" x14ac:dyDescent="0.3">
      <c r="A142" s="8" t="s">
        <v>68</v>
      </c>
      <c r="B142" s="9">
        <v>813</v>
      </c>
      <c r="C142" s="9">
        <v>465</v>
      </c>
      <c r="D142" s="9">
        <v>1184</v>
      </c>
      <c r="E142" s="9">
        <v>119</v>
      </c>
      <c r="F142" s="9">
        <v>-11</v>
      </c>
      <c r="G142" s="9">
        <v>427</v>
      </c>
      <c r="H142" s="9"/>
      <c r="I142" s="9"/>
      <c r="J142" s="9">
        <v>256</v>
      </c>
      <c r="K142" s="9">
        <v>424</v>
      </c>
      <c r="L142" s="9">
        <v>182</v>
      </c>
      <c r="M142" s="9">
        <v>774</v>
      </c>
      <c r="N142" s="6"/>
      <c r="O142" s="7">
        <f t="shared" si="33"/>
        <v>4633</v>
      </c>
      <c r="P142" s="23">
        <v>4000</v>
      </c>
      <c r="Q142" s="54">
        <v>2000</v>
      </c>
      <c r="R142" s="7">
        <v>5674</v>
      </c>
      <c r="S142" s="61">
        <f t="shared" si="34"/>
        <v>-3674</v>
      </c>
      <c r="T142" s="61">
        <v>8550</v>
      </c>
      <c r="U142" s="6"/>
      <c r="V142" s="78">
        <v>6250</v>
      </c>
    </row>
    <row r="143" spans="1:22" ht="20.100000000000001" customHeight="1" x14ac:dyDescent="0.3">
      <c r="A143" s="8" t="s">
        <v>91</v>
      </c>
      <c r="B143" s="9">
        <v>1297</v>
      </c>
      <c r="C143" s="9">
        <v>1330</v>
      </c>
      <c r="D143" s="9">
        <v>1330</v>
      </c>
      <c r="E143" s="9">
        <v>1317</v>
      </c>
      <c r="F143" s="9">
        <v>2267</v>
      </c>
      <c r="G143" s="9">
        <v>575</v>
      </c>
      <c r="H143" s="9">
        <v>1336</v>
      </c>
      <c r="I143" s="9">
        <v>1085</v>
      </c>
      <c r="J143" s="9">
        <v>1338</v>
      </c>
      <c r="K143" s="9">
        <v>1338</v>
      </c>
      <c r="L143" s="9">
        <v>1338</v>
      </c>
      <c r="M143" s="9">
        <v>1260</v>
      </c>
      <c r="N143" s="6"/>
      <c r="O143" s="7">
        <f t="shared" si="33"/>
        <v>15811</v>
      </c>
      <c r="P143" s="23">
        <v>16500</v>
      </c>
      <c r="Q143" s="54">
        <v>17000</v>
      </c>
      <c r="R143" s="7">
        <v>15495</v>
      </c>
      <c r="S143" s="61">
        <f t="shared" si="34"/>
        <v>1505</v>
      </c>
      <c r="T143" s="61">
        <v>15386</v>
      </c>
      <c r="U143" s="6"/>
      <c r="V143" s="78">
        <f t="shared" si="35"/>
        <v>15440.5</v>
      </c>
    </row>
    <row r="144" spans="1:22" ht="20.100000000000001" customHeight="1" x14ac:dyDescent="0.3">
      <c r="A144" s="8" t="s">
        <v>92</v>
      </c>
      <c r="B144" s="9"/>
      <c r="C144" s="9"/>
      <c r="D144" s="9">
        <v>382</v>
      </c>
      <c r="E144" s="9"/>
      <c r="F144" s="9">
        <v>126</v>
      </c>
      <c r="G144" s="9">
        <v>99</v>
      </c>
      <c r="H144" s="9">
        <v>235</v>
      </c>
      <c r="I144" s="9">
        <v>78</v>
      </c>
      <c r="J144" s="9">
        <v>70</v>
      </c>
      <c r="K144" s="9">
        <v>109</v>
      </c>
      <c r="L144" s="9">
        <v>70</v>
      </c>
      <c r="M144" s="9">
        <v>83</v>
      </c>
      <c r="N144" s="6"/>
      <c r="O144" s="7">
        <f t="shared" si="33"/>
        <v>1252</v>
      </c>
      <c r="P144" s="23">
        <v>2500</v>
      </c>
      <c r="Q144" s="54">
        <v>200</v>
      </c>
      <c r="R144" s="7">
        <v>845</v>
      </c>
      <c r="S144" s="61">
        <f t="shared" si="34"/>
        <v>-645</v>
      </c>
      <c r="T144" s="61">
        <v>783</v>
      </c>
      <c r="U144" s="6"/>
      <c r="V144" s="78">
        <f t="shared" si="35"/>
        <v>814</v>
      </c>
    </row>
    <row r="145" spans="1:22" ht="20.100000000000001" customHeight="1" x14ac:dyDescent="0.3">
      <c r="A145" s="8" t="s">
        <v>93</v>
      </c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6"/>
      <c r="N145" s="6"/>
      <c r="O145" s="7">
        <f t="shared" si="33"/>
        <v>0</v>
      </c>
      <c r="P145" s="23">
        <v>500</v>
      </c>
      <c r="Q145" s="54">
        <v>500</v>
      </c>
      <c r="R145" s="7"/>
      <c r="S145" s="61">
        <f t="shared" si="34"/>
        <v>500</v>
      </c>
      <c r="T145" s="61">
        <v>0</v>
      </c>
      <c r="U145" s="6"/>
      <c r="V145" s="78">
        <f t="shared" si="35"/>
        <v>0</v>
      </c>
    </row>
    <row r="146" spans="1:22" ht="20.100000000000001" customHeight="1" x14ac:dyDescent="0.3">
      <c r="A146" s="8" t="s">
        <v>94</v>
      </c>
      <c r="B146" s="9"/>
      <c r="C146" s="9"/>
      <c r="D146" s="9"/>
      <c r="E146" s="9"/>
      <c r="F146" s="9">
        <v>38</v>
      </c>
      <c r="G146" s="9"/>
      <c r="H146" s="9"/>
      <c r="I146" s="9"/>
      <c r="J146" s="9"/>
      <c r="K146" s="9"/>
      <c r="L146" s="9">
        <v>150</v>
      </c>
      <c r="M146" s="6"/>
      <c r="N146" s="6"/>
      <c r="O146" s="7">
        <f t="shared" si="33"/>
        <v>188</v>
      </c>
      <c r="P146" s="23">
        <v>0</v>
      </c>
      <c r="Q146" s="54">
        <v>0</v>
      </c>
      <c r="R146" s="7">
        <v>1550</v>
      </c>
      <c r="S146" s="61">
        <f t="shared" si="34"/>
        <v>-1550</v>
      </c>
      <c r="T146" s="61">
        <v>1560</v>
      </c>
      <c r="U146" s="6"/>
      <c r="V146" s="78">
        <f t="shared" si="35"/>
        <v>1555</v>
      </c>
    </row>
    <row r="147" spans="1:22" ht="20.100000000000001" customHeight="1" x14ac:dyDescent="0.3">
      <c r="A147" s="10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6"/>
      <c r="N147" s="6"/>
      <c r="O147" s="6"/>
      <c r="P147" s="7"/>
      <c r="Q147" s="7"/>
      <c r="R147" s="7"/>
      <c r="S147" s="61"/>
      <c r="T147" s="61"/>
      <c r="U147" s="6"/>
      <c r="V147" s="7"/>
    </row>
    <row r="148" spans="1:22" s="76" customFormat="1" ht="20.100000000000001" customHeight="1" x14ac:dyDescent="0.3">
      <c r="A148" s="70" t="s">
        <v>118</v>
      </c>
      <c r="B148" s="33">
        <f>SUM(B126:B146)</f>
        <v>7070</v>
      </c>
      <c r="C148" s="33">
        <f>SUM(C126:C146)</f>
        <v>7119</v>
      </c>
      <c r="D148" s="33">
        <f>SUM(D126:D146)</f>
        <v>8292</v>
      </c>
      <c r="E148" s="33">
        <f t="shared" ref="E148:N148" si="36">SUM(E126:E146)</f>
        <v>10698</v>
      </c>
      <c r="F148" s="33">
        <f t="shared" si="36"/>
        <v>5913</v>
      </c>
      <c r="G148" s="33">
        <f t="shared" si="36"/>
        <v>1444</v>
      </c>
      <c r="H148" s="33">
        <f t="shared" si="36"/>
        <v>3799</v>
      </c>
      <c r="I148" s="33">
        <f t="shared" si="36"/>
        <v>4586</v>
      </c>
      <c r="J148" s="33">
        <f t="shared" si="36"/>
        <v>7469</v>
      </c>
      <c r="K148" s="33">
        <f t="shared" si="36"/>
        <v>7247</v>
      </c>
      <c r="L148" s="33">
        <f t="shared" si="36"/>
        <v>5823</v>
      </c>
      <c r="M148" s="33">
        <f t="shared" si="36"/>
        <v>5844</v>
      </c>
      <c r="N148" s="33">
        <f t="shared" si="36"/>
        <v>0</v>
      </c>
      <c r="O148" s="71">
        <f>SUM(O126:O146)</f>
        <v>75304</v>
      </c>
      <c r="P148" s="72">
        <f>SUM(P126:P147)</f>
        <v>94528</v>
      </c>
      <c r="Q148" s="73">
        <f>SUM(Q126:Q147)</f>
        <v>99600</v>
      </c>
      <c r="R148" s="74">
        <f>SUM(R126:R147)</f>
        <v>123666</v>
      </c>
      <c r="S148" s="75">
        <f>SUM(S126:S147)</f>
        <v>-24066</v>
      </c>
      <c r="T148" s="66">
        <f t="shared" ref="T148:V148" si="37">SUM(T126:T147)</f>
        <v>124292</v>
      </c>
      <c r="U148" s="71"/>
      <c r="V148" s="82">
        <f t="shared" si="37"/>
        <v>66436.5</v>
      </c>
    </row>
    <row r="149" spans="1:22" ht="20.100000000000001" customHeight="1" x14ac:dyDescent="0.3">
      <c r="A149" s="6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6"/>
      <c r="N149" s="6"/>
      <c r="O149" s="6"/>
      <c r="P149" s="7"/>
      <c r="Q149" s="7"/>
      <c r="R149" s="7"/>
      <c r="S149" s="7"/>
      <c r="T149" s="7"/>
      <c r="U149" s="6"/>
      <c r="V149" s="7"/>
    </row>
    <row r="150" spans="1:22" s="44" customFormat="1" ht="20.100000000000001" customHeight="1" x14ac:dyDescent="0.3">
      <c r="A150" s="45" t="s">
        <v>39</v>
      </c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7"/>
      <c r="N150" s="47"/>
      <c r="O150" s="47"/>
      <c r="P150" s="46"/>
      <c r="Q150" s="46"/>
      <c r="R150" s="46"/>
      <c r="S150" s="46"/>
      <c r="T150" s="46"/>
      <c r="U150" s="47"/>
      <c r="V150" s="46"/>
    </row>
    <row r="151" spans="1:22" ht="20.100000000000001" customHeight="1" x14ac:dyDescent="0.3">
      <c r="A151" s="8" t="s">
        <v>95</v>
      </c>
      <c r="B151" s="9">
        <v>3439</v>
      </c>
      <c r="C151" s="9">
        <v>3537</v>
      </c>
      <c r="D151" s="9">
        <v>3549</v>
      </c>
      <c r="E151" s="9">
        <v>3394</v>
      </c>
      <c r="F151" s="9">
        <v>143</v>
      </c>
      <c r="G151" s="9">
        <v>3537</v>
      </c>
      <c r="H151" s="9">
        <v>3554</v>
      </c>
      <c r="I151" s="9">
        <v>3570</v>
      </c>
      <c r="J151" s="9">
        <v>3570</v>
      </c>
      <c r="K151" s="9">
        <v>3614</v>
      </c>
      <c r="L151" s="9">
        <v>3690</v>
      </c>
      <c r="M151" s="9">
        <v>3718</v>
      </c>
      <c r="N151" s="6"/>
      <c r="O151" s="7">
        <f>SUM(B151:N151)</f>
        <v>39315</v>
      </c>
      <c r="P151" s="23">
        <v>44500</v>
      </c>
      <c r="Q151" s="54">
        <v>44500</v>
      </c>
      <c r="R151" s="7">
        <v>44457</v>
      </c>
      <c r="S151" s="61">
        <f>Q151-R151</f>
        <v>43</v>
      </c>
      <c r="T151" s="61">
        <v>44321</v>
      </c>
      <c r="U151" s="6"/>
      <c r="V151" s="78">
        <f t="shared" ref="V151" si="38">SUM(R151+T151)/2</f>
        <v>44389</v>
      </c>
    </row>
    <row r="152" spans="1:22" ht="20.100000000000001" customHeight="1" x14ac:dyDescent="0.3">
      <c r="A152" s="10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6"/>
      <c r="N152" s="6"/>
      <c r="O152" s="6"/>
      <c r="P152" s="7"/>
      <c r="Q152" s="7"/>
      <c r="R152" s="7"/>
      <c r="S152" s="61"/>
      <c r="T152" s="61"/>
      <c r="U152" s="6"/>
      <c r="V152" s="7"/>
    </row>
    <row r="153" spans="1:22" s="76" customFormat="1" ht="20.100000000000001" customHeight="1" x14ac:dyDescent="0.3">
      <c r="A153" s="70" t="s">
        <v>119</v>
      </c>
      <c r="B153" s="33">
        <f>SUM(B151:B152)</f>
        <v>3439</v>
      </c>
      <c r="C153" s="33">
        <f>SUM(C151:C152)</f>
        <v>3537</v>
      </c>
      <c r="D153" s="33">
        <f t="shared" ref="D153:N153" si="39">SUM(D151:D152)</f>
        <v>3549</v>
      </c>
      <c r="E153" s="33">
        <f t="shared" si="39"/>
        <v>3394</v>
      </c>
      <c r="F153" s="33">
        <f t="shared" si="39"/>
        <v>143</v>
      </c>
      <c r="G153" s="33">
        <f t="shared" si="39"/>
        <v>3537</v>
      </c>
      <c r="H153" s="33">
        <f t="shared" si="39"/>
        <v>3554</v>
      </c>
      <c r="I153" s="33">
        <f t="shared" si="39"/>
        <v>3570</v>
      </c>
      <c r="J153" s="33">
        <f t="shared" si="39"/>
        <v>3570</v>
      </c>
      <c r="K153" s="33">
        <f t="shared" si="39"/>
        <v>3614</v>
      </c>
      <c r="L153" s="33">
        <f t="shared" si="39"/>
        <v>3690</v>
      </c>
      <c r="M153" s="33">
        <f t="shared" si="39"/>
        <v>3718</v>
      </c>
      <c r="N153" s="33">
        <f t="shared" si="39"/>
        <v>0</v>
      </c>
      <c r="O153" s="71">
        <f>O151</f>
        <v>39315</v>
      </c>
      <c r="P153" s="72">
        <f>SUM(P151:P152)</f>
        <v>44500</v>
      </c>
      <c r="Q153" s="73">
        <f>Q151</f>
        <v>44500</v>
      </c>
      <c r="R153" s="74">
        <v>44457</v>
      </c>
      <c r="S153" s="75">
        <f>SUM(S151:S152)</f>
        <v>43</v>
      </c>
      <c r="T153" s="75">
        <f>SUM(T151:T152)</f>
        <v>44321</v>
      </c>
      <c r="U153" s="45"/>
      <c r="V153" s="82">
        <f>SUM(V151:V152)</f>
        <v>44389</v>
      </c>
    </row>
    <row r="154" spans="1:22" ht="20.100000000000001" customHeight="1" x14ac:dyDescent="0.3">
      <c r="A154" s="6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6"/>
      <c r="N154" s="6"/>
      <c r="O154" s="6"/>
      <c r="P154" s="7"/>
      <c r="Q154" s="7"/>
      <c r="R154" s="7"/>
      <c r="S154" s="7"/>
      <c r="T154" s="7"/>
      <c r="U154" s="6"/>
      <c r="V154" s="7"/>
    </row>
    <row r="155" spans="1:22" ht="20.100000000000001" customHeight="1" x14ac:dyDescent="0.3">
      <c r="A155" s="14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6"/>
      <c r="N155" s="6"/>
      <c r="O155" s="6"/>
      <c r="P155" s="7"/>
      <c r="Q155" s="7"/>
      <c r="R155" s="7"/>
      <c r="S155" s="7"/>
      <c r="T155" s="7"/>
      <c r="U155" s="6"/>
      <c r="V155" s="7"/>
    </row>
    <row r="156" spans="1:22" s="44" customFormat="1" ht="20.100000000000001" customHeight="1" x14ac:dyDescent="0.3">
      <c r="A156" s="45" t="s">
        <v>120</v>
      </c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7"/>
      <c r="N156" s="47"/>
      <c r="O156" s="47"/>
      <c r="P156" s="46"/>
      <c r="Q156" s="46"/>
      <c r="R156" s="46"/>
      <c r="S156" s="46"/>
      <c r="T156" s="46"/>
      <c r="U156" s="47"/>
      <c r="V156" s="46"/>
    </row>
    <row r="157" spans="1:22" ht="20.100000000000001" customHeight="1" x14ac:dyDescent="0.3">
      <c r="A157" s="8" t="s">
        <v>96</v>
      </c>
      <c r="B157" s="9"/>
      <c r="C157" s="9"/>
      <c r="D157" s="9"/>
      <c r="E157" s="9"/>
      <c r="F157" s="9">
        <v>709</v>
      </c>
      <c r="G157" s="9">
        <v>674</v>
      </c>
      <c r="H157" s="9"/>
      <c r="I157" s="9"/>
      <c r="J157" s="9"/>
      <c r="K157" s="9"/>
      <c r="L157" s="9"/>
      <c r="M157" s="6"/>
      <c r="N157" s="6"/>
      <c r="O157" s="7">
        <f t="shared" ref="O157:O159" si="40">SUM(B157:N157)</f>
        <v>1383</v>
      </c>
      <c r="P157" s="23">
        <v>0</v>
      </c>
      <c r="Q157" s="54">
        <v>1000</v>
      </c>
      <c r="R157" s="7"/>
      <c r="S157" s="61">
        <f>Q157-R157</f>
        <v>1000</v>
      </c>
      <c r="T157" s="61">
        <v>0</v>
      </c>
      <c r="U157" s="6"/>
      <c r="V157" s="78">
        <f t="shared" ref="V157:V161" si="41">SUM(R157+T157)/2</f>
        <v>0</v>
      </c>
    </row>
    <row r="158" spans="1:22" ht="20.100000000000001" customHeight="1" x14ac:dyDescent="0.3">
      <c r="A158" s="8" t="s">
        <v>68</v>
      </c>
      <c r="B158" s="9"/>
      <c r="C158" s="9"/>
      <c r="D158" s="9"/>
      <c r="E158" s="9"/>
      <c r="F158" s="9">
        <v>350</v>
      </c>
      <c r="G158" s="9"/>
      <c r="H158" s="9"/>
      <c r="I158" s="9"/>
      <c r="J158" s="9"/>
      <c r="K158" s="9"/>
      <c r="L158" s="9"/>
      <c r="M158" s="6"/>
      <c r="N158" s="6"/>
      <c r="O158" s="7">
        <f t="shared" si="40"/>
        <v>350</v>
      </c>
      <c r="P158" s="23">
        <v>3000</v>
      </c>
      <c r="Q158" s="54">
        <v>1000</v>
      </c>
      <c r="R158" s="7">
        <f>213+87</f>
        <v>300</v>
      </c>
      <c r="S158" s="61">
        <f t="shared" ref="S158:S161" si="42">Q158-R158</f>
        <v>700</v>
      </c>
      <c r="T158" s="61">
        <v>0</v>
      </c>
      <c r="U158" s="6"/>
      <c r="V158" s="78">
        <f t="shared" si="41"/>
        <v>150</v>
      </c>
    </row>
    <row r="159" spans="1:22" ht="20.100000000000001" customHeight="1" x14ac:dyDescent="0.3">
      <c r="A159" s="8" t="s">
        <v>122</v>
      </c>
      <c r="B159" s="9">
        <v>350</v>
      </c>
      <c r="C159" s="9">
        <v>350</v>
      </c>
      <c r="D159" s="9">
        <v>350</v>
      </c>
      <c r="E159" s="9">
        <v>350</v>
      </c>
      <c r="F159" s="9">
        <v>-747</v>
      </c>
      <c r="G159" s="9"/>
      <c r="H159" s="9">
        <v>350</v>
      </c>
      <c r="I159" s="9"/>
      <c r="J159" s="9">
        <v>320</v>
      </c>
      <c r="K159" s="9"/>
      <c r="L159" s="9">
        <v>320</v>
      </c>
      <c r="M159" s="9">
        <v>480</v>
      </c>
      <c r="N159" s="6"/>
      <c r="O159" s="7">
        <f t="shared" si="40"/>
        <v>2123</v>
      </c>
      <c r="P159" s="23">
        <v>4800</v>
      </c>
      <c r="Q159" s="54">
        <v>4000</v>
      </c>
      <c r="R159" s="7">
        <v>3000</v>
      </c>
      <c r="S159" s="61">
        <f t="shared" si="42"/>
        <v>1000</v>
      </c>
      <c r="T159" s="61">
        <v>560</v>
      </c>
      <c r="U159" s="6"/>
      <c r="V159" s="78">
        <f t="shared" si="41"/>
        <v>1780</v>
      </c>
    </row>
    <row r="160" spans="1:22" ht="20.100000000000001" customHeight="1" x14ac:dyDescent="0.3">
      <c r="A160" s="8" t="s">
        <v>145</v>
      </c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6"/>
      <c r="O160" s="7"/>
      <c r="P160" s="23"/>
      <c r="Q160" s="54"/>
      <c r="R160" s="7">
        <v>260</v>
      </c>
      <c r="S160" s="61">
        <f t="shared" si="42"/>
        <v>-260</v>
      </c>
      <c r="T160" s="61">
        <v>358</v>
      </c>
      <c r="U160" s="6"/>
      <c r="V160" s="78">
        <f t="shared" si="41"/>
        <v>309</v>
      </c>
    </row>
    <row r="161" spans="1:22" ht="20.100000000000001" customHeight="1" x14ac:dyDescent="0.3">
      <c r="A161" s="8" t="s">
        <v>146</v>
      </c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6"/>
      <c r="O161" s="7"/>
      <c r="P161" s="23"/>
      <c r="Q161" s="54"/>
      <c r="R161" s="7">
        <v>1111</v>
      </c>
      <c r="S161" s="61">
        <f t="shared" si="42"/>
        <v>-1111</v>
      </c>
      <c r="T161" s="61">
        <v>500</v>
      </c>
      <c r="U161" s="6"/>
      <c r="V161" s="78">
        <f t="shared" si="41"/>
        <v>805.5</v>
      </c>
    </row>
    <row r="162" spans="1:22" ht="20.100000000000001" customHeight="1" x14ac:dyDescent="0.3">
      <c r="A162" s="10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6"/>
      <c r="N162" s="6"/>
      <c r="O162" s="6"/>
      <c r="P162" s="7"/>
      <c r="Q162" s="7"/>
      <c r="R162" s="7"/>
      <c r="S162" s="61"/>
      <c r="T162" s="61"/>
      <c r="U162" s="6"/>
      <c r="V162" s="7"/>
    </row>
    <row r="163" spans="1:22" s="76" customFormat="1" ht="20.100000000000001" customHeight="1" x14ac:dyDescent="0.3">
      <c r="A163" s="70" t="s">
        <v>121</v>
      </c>
      <c r="B163" s="33">
        <f>SUM(B157:B159)</f>
        <v>350</v>
      </c>
      <c r="C163" s="33">
        <f>SUM(C157:C162)</f>
        <v>350</v>
      </c>
      <c r="D163" s="33">
        <f t="shared" ref="D163:N163" si="43">SUM(D157:D162)</f>
        <v>350</v>
      </c>
      <c r="E163" s="33">
        <f t="shared" si="43"/>
        <v>350</v>
      </c>
      <c r="F163" s="33">
        <f t="shared" si="43"/>
        <v>312</v>
      </c>
      <c r="G163" s="33">
        <f t="shared" si="43"/>
        <v>674</v>
      </c>
      <c r="H163" s="33">
        <f t="shared" si="43"/>
        <v>350</v>
      </c>
      <c r="I163" s="33">
        <f t="shared" si="43"/>
        <v>0</v>
      </c>
      <c r="J163" s="33">
        <f t="shared" si="43"/>
        <v>320</v>
      </c>
      <c r="K163" s="33">
        <f t="shared" si="43"/>
        <v>0</v>
      </c>
      <c r="L163" s="33">
        <f t="shared" si="43"/>
        <v>320</v>
      </c>
      <c r="M163" s="33">
        <f t="shared" si="43"/>
        <v>480</v>
      </c>
      <c r="N163" s="33">
        <f t="shared" si="43"/>
        <v>0</v>
      </c>
      <c r="O163" s="71">
        <f>SUM(O157:O159)</f>
        <v>3856</v>
      </c>
      <c r="P163" s="72">
        <f>SUM(P157:P162)</f>
        <v>7800</v>
      </c>
      <c r="Q163" s="73">
        <f>SUM(Q157:Q162)</f>
        <v>6000</v>
      </c>
      <c r="R163" s="74">
        <f>SUM(R157:R162)</f>
        <v>4671</v>
      </c>
      <c r="S163" s="75">
        <f>SUM(S157:S162)</f>
        <v>1329</v>
      </c>
      <c r="T163" s="66">
        <f>SUM(T157:T162)</f>
        <v>1418</v>
      </c>
      <c r="U163" s="45"/>
      <c r="V163" s="82">
        <f>SUM(V157:V162)</f>
        <v>3044.5</v>
      </c>
    </row>
    <row r="164" spans="1:22" ht="20.100000000000001" customHeight="1" x14ac:dyDescent="0.3">
      <c r="A164" s="6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6"/>
      <c r="N164" s="6"/>
      <c r="O164" s="6"/>
      <c r="P164" s="7"/>
      <c r="Q164" s="7"/>
      <c r="R164" s="7"/>
      <c r="S164" s="7"/>
      <c r="T164" s="7"/>
      <c r="U164" s="6"/>
      <c r="V164" s="7"/>
    </row>
    <row r="165" spans="1:22" ht="20.100000000000001" customHeight="1" x14ac:dyDescent="0.3">
      <c r="A165" s="6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6"/>
      <c r="N165" s="6"/>
      <c r="O165" s="6"/>
      <c r="P165" s="7"/>
      <c r="Q165" s="7"/>
      <c r="R165" s="7"/>
      <c r="S165" s="7"/>
      <c r="T165" s="7"/>
      <c r="U165" s="6"/>
      <c r="V165" s="7"/>
    </row>
    <row r="166" spans="1:22" ht="20.100000000000001" customHeight="1" x14ac:dyDescent="0.3">
      <c r="A166" s="12" t="s">
        <v>139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6"/>
      <c r="N166" s="6"/>
      <c r="O166" s="6"/>
      <c r="P166" s="7"/>
      <c r="Q166" s="7"/>
      <c r="R166" s="7"/>
      <c r="S166" s="7"/>
      <c r="T166" s="7"/>
      <c r="U166" s="6"/>
      <c r="V166" s="7"/>
    </row>
    <row r="167" spans="1:22" ht="20.100000000000001" customHeight="1" x14ac:dyDescent="0.3">
      <c r="A167" s="67" t="s">
        <v>137</v>
      </c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6"/>
      <c r="N167" s="6"/>
      <c r="O167" s="6"/>
      <c r="P167" s="21">
        <f>P50</f>
        <v>483960</v>
      </c>
      <c r="Q167" s="21">
        <f>Q50</f>
        <v>533050.44799999997</v>
      </c>
      <c r="R167" s="21">
        <f>SUM(R56:R166)/2</f>
        <v>599521</v>
      </c>
      <c r="S167" s="21">
        <f>SUM(S56:S166)/2</f>
        <v>-66470.551999999996</v>
      </c>
      <c r="T167" s="21">
        <f>SUM(T56:T166)/2</f>
        <v>596600</v>
      </c>
      <c r="U167" s="6"/>
      <c r="V167" s="77">
        <f>SUM(V56:V166)/2</f>
        <v>536478</v>
      </c>
    </row>
    <row r="168" spans="1:22" ht="20.100000000000001" customHeight="1" x14ac:dyDescent="0.3">
      <c r="A168" s="14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6"/>
      <c r="N168" s="6"/>
      <c r="O168" s="6"/>
      <c r="P168" s="7"/>
      <c r="Q168" s="7"/>
      <c r="R168" s="7"/>
      <c r="S168" s="7"/>
      <c r="T168" s="7"/>
      <c r="U168" s="6"/>
      <c r="V168" s="7"/>
    </row>
    <row r="169" spans="1:22" ht="20.100000000000001" customHeight="1" x14ac:dyDescent="0.3">
      <c r="A169" s="68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"/>
      <c r="N169" s="6"/>
      <c r="O169" s="6"/>
      <c r="P169" s="7"/>
      <c r="Q169" s="7"/>
      <c r="R169" s="7"/>
      <c r="S169" s="7">
        <f>Q167-R167</f>
        <v>-66470.552000000025</v>
      </c>
      <c r="T169" s="7"/>
      <c r="U169" s="6"/>
      <c r="V169" s="7"/>
    </row>
    <row r="170" spans="1:22" ht="20.100000000000001" customHeight="1" x14ac:dyDescent="0.3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22" ht="20.100000000000001" customHeight="1" x14ac:dyDescent="0.3">
      <c r="A171" s="1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</sheetData>
  <sheetProtection selectLockedCells="1" selectUnlockedCells="1"/>
  <pageMargins left="0.2" right="0.2" top="2" bottom="0.5" header="0.3" footer="0.3"/>
  <pageSetup scale="81" orientation="portrait" r:id="rId1"/>
  <headerFooter>
    <oddHeader>&amp;C&amp;"-,Bold Italic"&amp;12City of Coolidge
2022
Proposed Budget
General</oddHeader>
    <oddFooter>&amp;R&amp;P</oddFooter>
  </headerFooter>
  <rowBreaks count="6" manualBreakCount="6">
    <brk id="26" max="16" man="1"/>
    <brk id="52" max="16383" man="1"/>
    <brk id="68" max="16383" man="1"/>
    <brk id="97" max="16383" man="1"/>
    <brk id="124" max="16383" man="1"/>
    <brk id="1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budget-final</vt:lpstr>
      <vt:lpstr>worksheet (4)</vt:lpstr>
      <vt:lpstr>budget</vt:lpstr>
      <vt:lpstr>budget!Print_Titles</vt:lpstr>
      <vt:lpstr>'budget-final'!Print_Titles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O. Sheffield</dc:creator>
  <cp:lastModifiedBy>Lisa O. Sheffield</cp:lastModifiedBy>
  <cp:lastPrinted>2022-08-23T12:27:44Z</cp:lastPrinted>
  <dcterms:created xsi:type="dcterms:W3CDTF">2020-08-05T20:51:01Z</dcterms:created>
  <dcterms:modified xsi:type="dcterms:W3CDTF">2023-02-21T14:23:25Z</dcterms:modified>
</cp:coreProperties>
</file>